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18039721\Downloads\"/>
    </mc:Choice>
  </mc:AlternateContent>
  <workbookProtection workbookAlgorithmName="SHA-512" workbookHashValue="RQ1ljkQcTen2a4LM9NJzsQ8IrOGNyt+KMA/NB/xOTDdRusxlHc1gEYdjI1dHKEu7Rd8PSppoTY9xAE/IlRLG5Q==" workbookSaltValue="pwMS8j3WmTaiknIBJ9aB6g==" workbookSpinCount="100000" lockStructure="1"/>
  <bookViews>
    <workbookView xWindow="480" yWindow="14490" windowWidth="18120" windowHeight="6240"/>
  </bookViews>
  <sheets>
    <sheet name="入力" sheetId="3" r:id="rId1"/>
    <sheet name="入力例" sheetId="7" r:id="rId2"/>
    <sheet name="計算" sheetId="1" state="hidden" r:id="rId3"/>
    <sheet name="税率" sheetId="2" state="hidden" r:id="rId4"/>
  </sheets>
  <definedNames>
    <definedName name="_xlnm.Print_Area" localSheetId="0">入力!$B$2:$M$36</definedName>
    <definedName name="_xlnm.Print_Area" localSheetId="1">入力例!$B$1:$O$22</definedName>
    <definedName name="年度選択">税率!$A:$A</definedName>
  </definedNames>
  <calcPr calcId="162913"/>
</workbook>
</file>

<file path=xl/calcChain.xml><?xml version="1.0" encoding="utf-8"?>
<calcChain xmlns="http://schemas.openxmlformats.org/spreadsheetml/2006/main">
  <c r="Q4" i="3" l="1"/>
  <c r="W8" i="3"/>
  <c r="V8" i="3"/>
  <c r="S8" i="3" l="1"/>
  <c r="T8" i="3"/>
  <c r="U8" i="3"/>
  <c r="L4" i="3"/>
  <c r="B26" i="3" s="1"/>
  <c r="D7" i="1" l="1"/>
  <c r="D8" i="1"/>
  <c r="D3" i="1" l="1"/>
  <c r="E3" i="1"/>
  <c r="F3" i="1" s="1"/>
  <c r="D4" i="1"/>
  <c r="E4" i="1"/>
  <c r="F4" i="1" s="1"/>
  <c r="D5" i="1"/>
  <c r="E5" i="1"/>
  <c r="F5" i="1"/>
  <c r="D6" i="1"/>
  <c r="E6" i="1"/>
  <c r="F6" i="1"/>
  <c r="E7" i="1"/>
  <c r="F7" i="1"/>
  <c r="B23" i="1"/>
  <c r="H8" i="1" s="1"/>
  <c r="F13" i="3" l="1"/>
  <c r="F12" i="3"/>
  <c r="F11" i="3"/>
  <c r="F10" i="3"/>
  <c r="F9" i="3"/>
  <c r="F8" i="3"/>
  <c r="F7" i="3"/>
  <c r="F6" i="3"/>
  <c r="E10" i="1"/>
  <c r="E9" i="1"/>
  <c r="E8" i="1"/>
  <c r="G2" i="3"/>
  <c r="F10" i="1"/>
  <c r="D10" i="1"/>
  <c r="B10" i="1"/>
  <c r="C10" i="1" s="1"/>
  <c r="A10" i="1"/>
  <c r="D9" i="1"/>
  <c r="B9" i="1"/>
  <c r="C9" i="1" s="1"/>
  <c r="A9" i="1"/>
  <c r="F8" i="1"/>
  <c r="B8" i="1"/>
  <c r="C8" i="1" s="1"/>
  <c r="A8" i="1"/>
  <c r="B7" i="1"/>
  <c r="C7" i="1" s="1"/>
  <c r="A7" i="1"/>
  <c r="B6" i="1"/>
  <c r="C6" i="1" s="1"/>
  <c r="A6" i="1"/>
  <c r="B5" i="1"/>
  <c r="C5" i="1" s="1"/>
  <c r="A5" i="1"/>
  <c r="B4" i="1"/>
  <c r="C4" i="1" s="1"/>
  <c r="A4" i="1"/>
  <c r="F25" i="1"/>
  <c r="E25" i="1"/>
  <c r="D25" i="1"/>
  <c r="C25" i="1"/>
  <c r="B25" i="1"/>
  <c r="F24" i="1"/>
  <c r="E24" i="1"/>
  <c r="D24" i="1"/>
  <c r="C24" i="1"/>
  <c r="B24" i="1"/>
  <c r="F23" i="1"/>
  <c r="E23" i="1"/>
  <c r="D23" i="1"/>
  <c r="C23" i="1"/>
  <c r="B3" i="1"/>
  <c r="C3" i="1" s="1"/>
  <c r="A3" i="1"/>
  <c r="G11" i="3"/>
  <c r="F9" i="1"/>
  <c r="L9" i="1" l="1"/>
  <c r="H5" i="1"/>
  <c r="G6" i="1"/>
  <c r="O7" i="1"/>
  <c r="J6" i="1"/>
  <c r="I3" i="1"/>
  <c r="N7" i="1"/>
  <c r="O4" i="1"/>
  <c r="O6" i="1"/>
  <c r="K3" i="1"/>
  <c r="N10" i="1"/>
  <c r="M3" i="1"/>
  <c r="N5" i="1"/>
  <c r="N9" i="1"/>
  <c r="I10" i="1"/>
  <c r="N3" i="1"/>
  <c r="I9" i="1"/>
  <c r="I7" i="1"/>
  <c r="I4" i="1"/>
  <c r="K7" i="1"/>
  <c r="J4" i="1"/>
  <c r="M4" i="1"/>
  <c r="L7" i="1"/>
  <c r="G4" i="1"/>
  <c r="O8" i="1"/>
  <c r="O10" i="1"/>
  <c r="L8" i="1"/>
  <c r="N6" i="1"/>
  <c r="G3" i="1"/>
  <c r="N4" i="1"/>
  <c r="M9" i="1"/>
  <c r="B14" i="1"/>
  <c r="E14" i="1" s="1"/>
  <c r="J3" i="1"/>
  <c r="G12" i="3"/>
  <c r="K9" i="1"/>
  <c r="A14" i="1"/>
  <c r="E18" i="1" s="1"/>
  <c r="H4" i="1"/>
  <c r="I6" i="1"/>
  <c r="J7" i="1"/>
  <c r="G7" i="1"/>
  <c r="M7" i="1"/>
  <c r="G5" i="1"/>
  <c r="J5" i="1"/>
  <c r="M5" i="1"/>
  <c r="G8" i="1"/>
  <c r="J8" i="1"/>
  <c r="M8" i="1"/>
  <c r="G10" i="1"/>
  <c r="J10" i="1"/>
  <c r="M10" i="1"/>
  <c r="K8" i="1"/>
  <c r="L6" i="1"/>
  <c r="O5" i="1"/>
  <c r="K4" i="1"/>
  <c r="K5" i="1"/>
  <c r="I5" i="1"/>
  <c r="H10" i="1"/>
  <c r="K10" i="1"/>
  <c r="H6" i="1"/>
  <c r="K6" i="1"/>
  <c r="G9" i="1"/>
  <c r="J9" i="1"/>
  <c r="H9" i="1"/>
  <c r="L5" i="1"/>
  <c r="L10" i="1"/>
  <c r="O9" i="1"/>
  <c r="H3" i="1"/>
  <c r="L4" i="1"/>
  <c r="O3" i="1"/>
  <c r="N8" i="1"/>
  <c r="L3" i="1"/>
  <c r="H7" i="1"/>
  <c r="M6" i="1"/>
  <c r="I8" i="1"/>
  <c r="D14" i="1" l="1"/>
  <c r="K8" i="3" s="1"/>
  <c r="D18" i="1"/>
  <c r="C14" i="1"/>
  <c r="K7" i="3" s="1"/>
  <c r="H11" i="1"/>
  <c r="J7" i="3" s="1"/>
  <c r="M11" i="1"/>
  <c r="H9" i="3" s="1"/>
  <c r="I11" i="1"/>
  <c r="I8" i="3" s="1"/>
  <c r="F18" i="1"/>
  <c r="L11" i="1"/>
  <c r="I9" i="3" s="1"/>
  <c r="J11" i="1"/>
  <c r="H8" i="3" s="1"/>
  <c r="F11" i="1"/>
  <c r="I7" i="3" s="1"/>
  <c r="K11" i="1"/>
  <c r="J8" i="3" s="1"/>
  <c r="N11" i="1"/>
  <c r="J9" i="3" s="1"/>
  <c r="K9" i="3"/>
  <c r="C18" i="1"/>
  <c r="G11" i="1"/>
  <c r="H7" i="3" s="1"/>
  <c r="A18" i="1" l="1"/>
  <c r="G18" i="1" s="1"/>
  <c r="J18" i="1" s="1"/>
  <c r="L7" i="3" s="1"/>
  <c r="B18" i="1"/>
  <c r="H18" i="1" s="1"/>
  <c r="K18" i="1" s="1"/>
  <c r="L8" i="3" s="1"/>
  <c r="I18" i="1"/>
  <c r="L18" i="1" s="1"/>
  <c r="L9" i="3" s="1"/>
  <c r="I10" i="3"/>
  <c r="H10" i="3"/>
  <c r="K10" i="3"/>
  <c r="J10" i="3"/>
  <c r="L10" i="3" l="1"/>
  <c r="I14" i="3" s="1"/>
</calcChain>
</file>

<file path=xl/comments1.xml><?xml version="1.0" encoding="utf-8"?>
<comments xmlns="http://schemas.openxmlformats.org/spreadsheetml/2006/main">
  <authors>
    <author>oaadmin</author>
    <author>なるせ　しんご</author>
  </authors>
  <commentList>
    <comment ref="B2" authorId="0" shapeId="0">
      <text>
        <r>
          <rPr>
            <b/>
            <sz val="9"/>
            <color indexed="81"/>
            <rFont val="ＭＳ Ｐゴシック"/>
            <family val="3"/>
            <charset val="128"/>
          </rPr>
          <t>保険税を計算する年度を入力してください。</t>
        </r>
        <r>
          <rPr>
            <sz val="9"/>
            <color indexed="81"/>
            <rFont val="ＭＳ Ｐゴシック"/>
            <family val="3"/>
            <charset val="128"/>
          </rPr>
          <t xml:space="preserve">
</t>
        </r>
      </text>
    </comment>
    <comment ref="B5" authorId="0" shapeId="0">
      <text>
        <r>
          <rPr>
            <b/>
            <sz val="9"/>
            <color indexed="81"/>
            <rFont val="ＭＳ Ｐゴシック"/>
            <family val="3"/>
            <charset val="128"/>
          </rPr>
          <t>国民健康保険に加入する予定の方の氏名を記入してください。</t>
        </r>
      </text>
    </comment>
    <comment ref="C5" authorId="0" shapeId="0">
      <text>
        <r>
          <rPr>
            <b/>
            <sz val="9"/>
            <color indexed="81"/>
            <rFont val="ＭＳ Ｐゴシック"/>
            <family val="3"/>
            <charset val="128"/>
          </rPr>
          <t>保険税の計算をする年度の</t>
        </r>
        <r>
          <rPr>
            <b/>
            <sz val="9"/>
            <color indexed="10"/>
            <rFont val="ＭＳ Ｐゴシック"/>
            <family val="3"/>
            <charset val="128"/>
          </rPr>
          <t>前年の</t>
        </r>
        <r>
          <rPr>
            <b/>
            <sz val="9"/>
            <color indexed="81"/>
            <rFont val="ＭＳ Ｐゴシック"/>
            <family val="3"/>
            <charset val="128"/>
          </rPr>
          <t xml:space="preserve">総所得金額等を入力してください。
【例】令和4年度の保険税を計算する場合は令和3年中の総所得金額等を入力してください。
</t>
        </r>
        <r>
          <rPr>
            <b/>
            <sz val="9"/>
            <color indexed="17"/>
            <rFont val="ＭＳ Ｐゴシック"/>
            <family val="3"/>
            <charset val="128"/>
          </rPr>
          <t>①確定申告をした方</t>
        </r>
        <r>
          <rPr>
            <b/>
            <sz val="9"/>
            <color indexed="81"/>
            <rFont val="ＭＳ Ｐゴシック"/>
            <family val="3"/>
            <charset val="128"/>
          </rPr>
          <t xml:space="preserve">
　確定申告書Aの</t>
        </r>
        <r>
          <rPr>
            <b/>
            <sz val="9"/>
            <color indexed="10"/>
            <rFont val="ＭＳ Ｐゴシック"/>
            <family val="3"/>
            <charset val="128"/>
          </rPr>
          <t>「⑧（所得金額等）合計」または確定申告書Bの
　「⑫（所得金額等）合計」</t>
        </r>
        <r>
          <rPr>
            <b/>
            <sz val="9"/>
            <color indexed="81"/>
            <rFont val="ＭＳ Ｐゴシック"/>
            <family val="3"/>
            <charset val="128"/>
          </rPr>
          <t>に記載されている金額を入力してください。
　その他、</t>
        </r>
        <r>
          <rPr>
            <b/>
            <sz val="9"/>
            <color indexed="10"/>
            <rFont val="ＭＳ Ｐゴシック"/>
            <family val="3"/>
            <charset val="128"/>
          </rPr>
          <t>譲渡（分離）所得があれば合算</t>
        </r>
        <r>
          <rPr>
            <b/>
            <sz val="9"/>
            <color indexed="81"/>
            <rFont val="ＭＳ Ｐゴシック"/>
            <family val="3"/>
            <charset val="128"/>
          </rPr>
          <t xml:space="preserve">してください。
</t>
        </r>
        <r>
          <rPr>
            <b/>
            <sz val="9"/>
            <color indexed="17"/>
            <rFont val="ＭＳ Ｐゴシック"/>
            <family val="3"/>
            <charset val="128"/>
          </rPr>
          <t>②給与収入のみの方</t>
        </r>
        <r>
          <rPr>
            <b/>
            <sz val="9"/>
            <color indexed="81"/>
            <rFont val="ＭＳ Ｐゴシック"/>
            <family val="3"/>
            <charset val="128"/>
          </rPr>
          <t xml:space="preserve">
　</t>
        </r>
        <r>
          <rPr>
            <b/>
            <sz val="9"/>
            <color indexed="10"/>
            <rFont val="ＭＳ Ｐゴシック"/>
            <family val="3"/>
            <charset val="128"/>
          </rPr>
          <t>給与所得金額</t>
        </r>
        <r>
          <rPr>
            <b/>
            <sz val="9"/>
            <color indexed="81"/>
            <rFont val="ＭＳ Ｐゴシック"/>
            <family val="3"/>
            <charset val="128"/>
          </rPr>
          <t>を入力してください。
　※</t>
        </r>
        <r>
          <rPr>
            <b/>
            <sz val="9"/>
            <color indexed="10"/>
            <rFont val="ＭＳ Ｐゴシック"/>
            <family val="3"/>
            <charset val="128"/>
          </rPr>
          <t>所得金額調整控除がある人は、控除後の金額</t>
        </r>
        <r>
          <rPr>
            <b/>
            <sz val="9"/>
            <color indexed="81"/>
            <rFont val="ＭＳ Ｐゴシック"/>
            <family val="3"/>
            <charset val="128"/>
          </rPr>
          <t xml:space="preserve">を入力してください。
　計算方法は国税庁Webサイトをご覧下さい。
</t>
        </r>
        <r>
          <rPr>
            <b/>
            <sz val="9"/>
            <color indexed="17"/>
            <rFont val="ＭＳ Ｐゴシック"/>
            <family val="3"/>
            <charset val="128"/>
          </rPr>
          <t>③年金収入のみの方</t>
        </r>
        <r>
          <rPr>
            <b/>
            <sz val="9"/>
            <color indexed="81"/>
            <rFont val="ＭＳ Ｐゴシック"/>
            <family val="3"/>
            <charset val="128"/>
          </rPr>
          <t xml:space="preserve">
　</t>
        </r>
        <r>
          <rPr>
            <b/>
            <sz val="9"/>
            <color indexed="10"/>
            <rFont val="ＭＳ Ｐゴシック"/>
            <family val="3"/>
            <charset val="128"/>
          </rPr>
          <t>年金収入額を基に計算した雑所得金額</t>
        </r>
        <r>
          <rPr>
            <b/>
            <sz val="9"/>
            <color indexed="81"/>
            <rFont val="ＭＳ Ｐゴシック"/>
            <family val="3"/>
            <charset val="128"/>
          </rPr>
          <t xml:space="preserve">を入力してください。
　計算方法は国税庁Webサイトをご覧下さい。
</t>
        </r>
        <r>
          <rPr>
            <b/>
            <sz val="9"/>
            <color indexed="17"/>
            <rFont val="ＭＳ Ｐゴシック"/>
            <family val="3"/>
            <charset val="128"/>
          </rPr>
          <t>④給与収入と年金収入がある方</t>
        </r>
        <r>
          <rPr>
            <b/>
            <sz val="9"/>
            <color indexed="81"/>
            <rFont val="ＭＳ Ｐゴシック"/>
            <family val="3"/>
            <charset val="128"/>
          </rPr>
          <t xml:space="preserve">
　</t>
        </r>
        <r>
          <rPr>
            <b/>
            <sz val="9"/>
            <color indexed="10"/>
            <rFont val="ＭＳ Ｐゴシック"/>
            <family val="3"/>
            <charset val="128"/>
          </rPr>
          <t>上記②と③の合算額</t>
        </r>
        <r>
          <rPr>
            <b/>
            <sz val="9"/>
            <color indexed="81"/>
            <rFont val="ＭＳ Ｐゴシック"/>
            <family val="3"/>
            <charset val="128"/>
          </rPr>
          <t>を入力してください。
　※</t>
        </r>
        <r>
          <rPr>
            <b/>
            <sz val="9"/>
            <color indexed="10"/>
            <rFont val="ＭＳ Ｐゴシック"/>
            <family val="3"/>
            <charset val="128"/>
          </rPr>
          <t>所得金額調整控除がある人は、控除後の金額</t>
        </r>
        <r>
          <rPr>
            <b/>
            <sz val="9"/>
            <color indexed="81"/>
            <rFont val="ＭＳ Ｐゴシック"/>
            <family val="3"/>
            <charset val="128"/>
          </rPr>
          <t>を入力してください。
＊非課税年金（遺族年金、障害年金等）は、総所得金額等に含まれません。
＊失業給付金等は総所得金額等に含まれません。
＊土地などの譲渡所得金額がある場合は、特別控除後の金額で算定します。
＊上場株式等に係る譲渡損失の繰越控除を適用した場合は、繰越控除適用後の
   金額で算定します。</t>
        </r>
      </text>
    </comment>
    <comment ref="D5" authorId="0" shapeId="0">
      <text>
        <r>
          <rPr>
            <b/>
            <sz val="9"/>
            <color indexed="81"/>
            <rFont val="ＭＳ Ｐゴシック"/>
            <family val="3"/>
            <charset val="128"/>
          </rPr>
          <t>保険税を計算する年度の、</t>
        </r>
        <r>
          <rPr>
            <b/>
            <sz val="9"/>
            <color indexed="10"/>
            <rFont val="ＭＳ Ｐゴシック"/>
            <family val="3"/>
            <charset val="128"/>
          </rPr>
          <t>土地・家屋に係る富士市固定資産税額</t>
        </r>
        <r>
          <rPr>
            <b/>
            <sz val="9"/>
            <color indexed="81"/>
            <rFont val="ＭＳ Ｐゴシック"/>
            <family val="3"/>
            <charset val="128"/>
          </rPr>
          <t xml:space="preserve">を入力してください。
都市計画税や償却資産に係る固定資産税は含みません。
</t>
        </r>
        <r>
          <rPr>
            <b/>
            <sz val="9"/>
            <color indexed="10"/>
            <rFont val="ＭＳ Ｐゴシック"/>
            <family val="3"/>
            <charset val="128"/>
          </rPr>
          <t xml:space="preserve">令和5年度より資産割廃止に伴い、固定資産税額の入力は不要となります。
令和4年度の試算をする際は入力してください。
</t>
        </r>
        <r>
          <rPr>
            <b/>
            <sz val="9"/>
            <color indexed="81"/>
            <rFont val="ＭＳ Ｐゴシック"/>
            <family val="3"/>
            <charset val="128"/>
          </rPr>
          <t xml:space="preserve">
共有で不動産を所有していている場合は、</t>
        </r>
        <r>
          <rPr>
            <b/>
            <sz val="9"/>
            <color indexed="10"/>
            <rFont val="ＭＳ Ｐゴシック"/>
            <family val="3"/>
            <charset val="128"/>
          </rPr>
          <t>持分で按分した金額</t>
        </r>
        <r>
          <rPr>
            <b/>
            <sz val="9"/>
            <color indexed="81"/>
            <rFont val="ＭＳ Ｐゴシック"/>
            <family val="3"/>
            <charset val="128"/>
          </rPr>
          <t>を入力してください。
【例】世帯主・妻・子で各1/3の割合で所有している物件に係る固定資産税額が30,000円であった場合
世帯主・妻・子それぞれの固定資産税額に10,000円と入力してください（10,000円×3＝30,000円）。</t>
        </r>
      </text>
    </comment>
    <comment ref="E5" authorId="0" shapeId="0">
      <text>
        <r>
          <rPr>
            <b/>
            <sz val="9"/>
            <color indexed="81"/>
            <rFont val="ＭＳ Ｐゴシック"/>
            <family val="3"/>
            <charset val="128"/>
          </rPr>
          <t>保険に加入される方の年齢を入力してください。
年齢欄が空欄の方の分の保険税は試算結果に反映されませんので</t>
        </r>
        <r>
          <rPr>
            <b/>
            <sz val="9"/>
            <color indexed="10"/>
            <rFont val="ＭＳ Ｐゴシック"/>
            <family val="3"/>
            <charset val="128"/>
          </rPr>
          <t>必ず入力してください</t>
        </r>
        <r>
          <rPr>
            <b/>
            <sz val="9"/>
            <color indexed="81"/>
            <rFont val="ＭＳ Ｐゴシック"/>
            <family val="3"/>
            <charset val="128"/>
          </rPr>
          <t>。
年度途中で</t>
        </r>
        <r>
          <rPr>
            <b/>
            <sz val="9"/>
            <color indexed="10"/>
            <rFont val="ＭＳ Ｐゴシック"/>
            <family val="3"/>
            <charset val="128"/>
          </rPr>
          <t>40歳または65歳になる場合、</t>
        </r>
        <r>
          <rPr>
            <b/>
            <sz val="9"/>
            <color indexed="8"/>
            <rFont val="ＭＳ Ｐゴシック"/>
            <family val="3"/>
            <charset val="128"/>
          </rPr>
          <t>税額が結果と変わる可能性があります。</t>
        </r>
      </text>
    </comment>
    <comment ref="H6" authorId="1" shapeId="0">
      <text>
        <r>
          <rPr>
            <b/>
            <sz val="9"/>
            <color indexed="81"/>
            <rFont val="MS P ゴシック"/>
            <family val="3"/>
            <charset val="128"/>
          </rPr>
          <t>固定資産税に対する課税</t>
        </r>
      </text>
    </comment>
    <comment ref="I6" authorId="1" shapeId="0">
      <text>
        <r>
          <rPr>
            <b/>
            <sz val="9"/>
            <color indexed="81"/>
            <rFont val="MS P ゴシック"/>
            <family val="3"/>
            <charset val="128"/>
          </rPr>
          <t>所得に対する課税</t>
        </r>
      </text>
    </comment>
    <comment ref="J6" authorId="1" shapeId="0">
      <text>
        <r>
          <rPr>
            <b/>
            <sz val="9"/>
            <color indexed="81"/>
            <rFont val="MS P ゴシック"/>
            <family val="3"/>
            <charset val="128"/>
          </rPr>
          <t>加入者の人数に対する税額</t>
        </r>
      </text>
    </comment>
    <comment ref="K6" authorId="1" shapeId="0">
      <text>
        <r>
          <rPr>
            <b/>
            <sz val="9"/>
            <color indexed="81"/>
            <rFont val="MS P ゴシック"/>
            <family val="3"/>
            <charset val="128"/>
          </rPr>
          <t>世帯に対する課税</t>
        </r>
      </text>
    </comment>
    <comment ref="B16" authorId="0" shapeId="0">
      <text>
        <r>
          <rPr>
            <b/>
            <sz val="9"/>
            <color indexed="81"/>
            <rFont val="ＭＳ Ｐゴシック"/>
            <family val="3"/>
            <charset val="128"/>
          </rPr>
          <t>保険に</t>
        </r>
        <r>
          <rPr>
            <b/>
            <sz val="9"/>
            <color indexed="10"/>
            <rFont val="ＭＳ Ｐゴシック"/>
            <family val="3"/>
            <charset val="128"/>
          </rPr>
          <t>加入する月から3月までの月数</t>
        </r>
        <r>
          <rPr>
            <b/>
            <sz val="9"/>
            <color indexed="81"/>
            <rFont val="ＭＳ Ｐゴシック"/>
            <family val="3"/>
            <charset val="128"/>
          </rPr>
          <t>を入力してください。
保険税は月割りで計算されます。月末に加入している場合にその月の保険税が課税されますので、</t>
        </r>
        <r>
          <rPr>
            <b/>
            <sz val="9"/>
            <color indexed="10"/>
            <rFont val="ＭＳ Ｐゴシック"/>
            <family val="3"/>
            <charset val="128"/>
          </rPr>
          <t>加入日が末日であっても加入日の属する月の分から課税し、脱退した日の属する月の分は課税されません</t>
        </r>
        <r>
          <rPr>
            <b/>
            <sz val="9"/>
            <color indexed="81"/>
            <rFont val="ＭＳ Ｐゴシック"/>
            <family val="3"/>
            <charset val="128"/>
          </rPr>
          <t xml:space="preserve">。
【例】4月1日に保険に加入する場合
12と入力してください。
【例】3月31日に保険に加入する場合
1と入力してください。
【例】翌年度4月～3月の保険税を計算したい場合
12と入力してください。
</t>
        </r>
      </text>
    </comment>
  </commentList>
</comments>
</file>

<file path=xl/sharedStrings.xml><?xml version="1.0" encoding="utf-8"?>
<sst xmlns="http://schemas.openxmlformats.org/spreadsheetml/2006/main" count="145" uniqueCount="109">
  <si>
    <t>氏名</t>
    <rPh sb="0" eb="2">
      <t>シメイ</t>
    </rPh>
    <phoneticPr fontId="1"/>
  </si>
  <si>
    <t>固定資産税額</t>
    <rPh sb="0" eb="2">
      <t>コテイ</t>
    </rPh>
    <rPh sb="2" eb="4">
      <t>シサン</t>
    </rPh>
    <rPh sb="4" eb="6">
      <t>ゼイガク</t>
    </rPh>
    <phoneticPr fontId="1"/>
  </si>
  <si>
    <t>年齢</t>
    <rPh sb="0" eb="2">
      <t>ネンレイ</t>
    </rPh>
    <phoneticPr fontId="1"/>
  </si>
  <si>
    <t>医療</t>
    <rPh sb="0" eb="2">
      <t>イリョウ</t>
    </rPh>
    <phoneticPr fontId="1"/>
  </si>
  <si>
    <t>所得割</t>
    <rPh sb="0" eb="2">
      <t>ショトク</t>
    </rPh>
    <rPh sb="2" eb="3">
      <t>ワリ</t>
    </rPh>
    <phoneticPr fontId="1"/>
  </si>
  <si>
    <t>資産割</t>
    <rPh sb="0" eb="2">
      <t>シサン</t>
    </rPh>
    <rPh sb="2" eb="3">
      <t>ワリ</t>
    </rPh>
    <phoneticPr fontId="1"/>
  </si>
  <si>
    <t>均等割</t>
    <rPh sb="0" eb="2">
      <t>キントウ</t>
    </rPh>
    <rPh sb="2" eb="3">
      <t>ワリ</t>
    </rPh>
    <phoneticPr fontId="1"/>
  </si>
  <si>
    <t>支援</t>
    <rPh sb="0" eb="2">
      <t>シエン</t>
    </rPh>
    <phoneticPr fontId="1"/>
  </si>
  <si>
    <t>介護</t>
    <rPh sb="0" eb="2">
      <t>カイゴ</t>
    </rPh>
    <phoneticPr fontId="1"/>
  </si>
  <si>
    <t>月数</t>
    <rPh sb="0" eb="2">
      <t>ツキスウ</t>
    </rPh>
    <phoneticPr fontId="1"/>
  </si>
  <si>
    <t>介護月数</t>
    <rPh sb="0" eb="2">
      <t>カイゴ</t>
    </rPh>
    <rPh sb="2" eb="4">
      <t>ツキスウ</t>
    </rPh>
    <phoneticPr fontId="1"/>
  </si>
  <si>
    <t>平等割</t>
    <rPh sb="0" eb="2">
      <t>ビョウドウ</t>
    </rPh>
    <rPh sb="2" eb="3">
      <t>ワリ</t>
    </rPh>
    <phoneticPr fontId="1"/>
  </si>
  <si>
    <t>限度額</t>
    <rPh sb="0" eb="2">
      <t>ゲンド</t>
    </rPh>
    <rPh sb="2" eb="3">
      <t>ガク</t>
    </rPh>
    <phoneticPr fontId="1"/>
  </si>
  <si>
    <t>計算税額</t>
    <rPh sb="0" eb="2">
      <t>ケイサン</t>
    </rPh>
    <rPh sb="2" eb="4">
      <t>ゼイガク</t>
    </rPh>
    <phoneticPr fontId="1"/>
  </si>
  <si>
    <t>超過後</t>
    <rPh sb="0" eb="2">
      <t>チョウカ</t>
    </rPh>
    <rPh sb="2" eb="3">
      <t>ゴ</t>
    </rPh>
    <phoneticPr fontId="1"/>
  </si>
  <si>
    <t>端数切捨て</t>
    <rPh sb="0" eb="2">
      <t>ハスウ</t>
    </rPh>
    <rPh sb="2" eb="4">
      <t>キリス</t>
    </rPh>
    <phoneticPr fontId="1"/>
  </si>
  <si>
    <t>加入月数</t>
    <rPh sb="0" eb="2">
      <t>カニュウ</t>
    </rPh>
    <rPh sb="2" eb="4">
      <t>ツキスウ</t>
    </rPh>
    <phoneticPr fontId="1"/>
  </si>
  <si>
    <t>合計</t>
    <rPh sb="0" eb="2">
      <t>ゴウケイ</t>
    </rPh>
    <phoneticPr fontId="1"/>
  </si>
  <si>
    <t>ヶ月</t>
    <rPh sb="1" eb="2">
      <t>ゲツ</t>
    </rPh>
    <phoneticPr fontId="1"/>
  </si>
  <si>
    <t>任意継続との比較用</t>
    <rPh sb="0" eb="2">
      <t>ニンイ</t>
    </rPh>
    <rPh sb="2" eb="4">
      <t>ケイゾク</t>
    </rPh>
    <rPh sb="6" eb="9">
      <t>ヒカクヨウ</t>
    </rPh>
    <phoneticPr fontId="1"/>
  </si>
  <si>
    <t>加入期間1ヶ月あたり</t>
    <rPh sb="0" eb="2">
      <t>カニュウ</t>
    </rPh>
    <rPh sb="2" eb="4">
      <t>キカン</t>
    </rPh>
    <rPh sb="6" eb="7">
      <t>ゲツ</t>
    </rPh>
    <phoneticPr fontId="1"/>
  </si>
  <si>
    <t>円</t>
    <rPh sb="0" eb="1">
      <t>エン</t>
    </rPh>
    <phoneticPr fontId="1"/>
  </si>
  <si>
    <t>基準総所得金額</t>
    <rPh sb="0" eb="2">
      <t>キジュン</t>
    </rPh>
    <rPh sb="2" eb="5">
      <t>ソウショトク</t>
    </rPh>
    <rPh sb="5" eb="7">
      <t>キンガク</t>
    </rPh>
    <phoneticPr fontId="1"/>
  </si>
  <si>
    <t>基準総所得金額</t>
  </si>
  <si>
    <t>税率</t>
    <rPh sb="0" eb="2">
      <t>ゼイリツ</t>
    </rPh>
    <phoneticPr fontId="1"/>
  </si>
  <si>
    <t>医療</t>
    <rPh sb="0" eb="2">
      <t>イリョウ</t>
    </rPh>
    <phoneticPr fontId="1"/>
  </si>
  <si>
    <t>支援</t>
    <rPh sb="0" eb="2">
      <t>シエン</t>
    </rPh>
    <phoneticPr fontId="1"/>
  </si>
  <si>
    <t>介護</t>
    <rPh sb="0" eb="2">
      <t>カイゴ</t>
    </rPh>
    <phoneticPr fontId="1"/>
  </si>
  <si>
    <t>資産割</t>
    <rPh sb="0" eb="2">
      <t>シサン</t>
    </rPh>
    <rPh sb="2" eb="3">
      <t>ワリ</t>
    </rPh>
    <phoneticPr fontId="1"/>
  </si>
  <si>
    <t>所得割</t>
    <rPh sb="0" eb="2">
      <t>ショトク</t>
    </rPh>
    <rPh sb="2" eb="3">
      <t>ワリ</t>
    </rPh>
    <phoneticPr fontId="1"/>
  </si>
  <si>
    <t>均等割</t>
    <rPh sb="0" eb="2">
      <t>キントウ</t>
    </rPh>
    <rPh sb="2" eb="3">
      <t>ワリ</t>
    </rPh>
    <phoneticPr fontId="1"/>
  </si>
  <si>
    <t>平等割</t>
    <rPh sb="0" eb="2">
      <t>ビョウドウ</t>
    </rPh>
    <rPh sb="2" eb="3">
      <t>ワリ</t>
    </rPh>
    <phoneticPr fontId="1"/>
  </si>
  <si>
    <t>年度国民健康保険税の試算</t>
    <phoneticPr fontId="1"/>
  </si>
  <si>
    <t>医療資産割</t>
  </si>
  <si>
    <t>医療所得割</t>
  </si>
  <si>
    <t>医療均等割</t>
  </si>
  <si>
    <t>医療平等割</t>
  </si>
  <si>
    <t>医療限度額</t>
  </si>
  <si>
    <t>支援資産割</t>
  </si>
  <si>
    <t>支援所得割</t>
  </si>
  <si>
    <t>支援均等割</t>
  </si>
  <si>
    <t>支援平等割</t>
  </si>
  <si>
    <t>支援限度額</t>
  </si>
  <si>
    <t>介護資産割</t>
  </si>
  <si>
    <t>介護所得割</t>
  </si>
  <si>
    <t>介護均等割</t>
  </si>
  <si>
    <t>介護平等割</t>
  </si>
  <si>
    <t>介護限度額</t>
  </si>
  <si>
    <t>限度額</t>
    <rPh sb="0" eb="2">
      <t>ゲンド</t>
    </rPh>
    <rPh sb="2" eb="3">
      <t>ガク</t>
    </rPh>
    <phoneticPr fontId="1"/>
  </si>
  <si>
    <t>計算結果</t>
    <rPh sb="0" eb="2">
      <t>ケイサン</t>
    </rPh>
    <rPh sb="2" eb="4">
      <t>ケッカ</t>
    </rPh>
    <phoneticPr fontId="1"/>
  </si>
  <si>
    <t>参考リンク</t>
    <rPh sb="0" eb="2">
      <t>サンコウ</t>
    </rPh>
    <phoneticPr fontId="1"/>
  </si>
  <si>
    <t>国税庁Webサイト　給与所得控除</t>
  </si>
  <si>
    <t>年度</t>
    <rPh sb="0" eb="2">
      <t>ネンド</t>
    </rPh>
    <phoneticPr fontId="1"/>
  </si>
  <si>
    <t>富士市国民健康保険税について</t>
    <rPh sb="0" eb="3">
      <t>フジシ</t>
    </rPh>
    <rPh sb="3" eb="5">
      <t>コクミン</t>
    </rPh>
    <rPh sb="5" eb="7">
      <t>ケンコウ</t>
    </rPh>
    <rPh sb="7" eb="9">
      <t>ホケン</t>
    </rPh>
    <rPh sb="9" eb="10">
      <t>ゼイ</t>
    </rPh>
    <phoneticPr fontId="1"/>
  </si>
  <si>
    <t>非自発的失業者に対する軽減について</t>
    <rPh sb="0" eb="1">
      <t>ヒ</t>
    </rPh>
    <rPh sb="1" eb="4">
      <t>ジハツテキ</t>
    </rPh>
    <rPh sb="4" eb="7">
      <t>シツギョウシャ</t>
    </rPh>
    <rPh sb="8" eb="9">
      <t>タイ</t>
    </rPh>
    <rPh sb="11" eb="13">
      <t>ケイゲン</t>
    </rPh>
    <phoneticPr fontId="1"/>
  </si>
  <si>
    <t>富士市Webサイト　非自発的失業者に対する保険税の軽減制度</t>
  </si>
  <si>
    <r>
      <t xml:space="preserve">   </t>
    </r>
    <r>
      <rPr>
        <b/>
        <sz val="11"/>
        <color indexed="10"/>
        <rFont val="ＭＳ Ｐゴシック"/>
        <family val="3"/>
        <charset val="128"/>
      </rPr>
      <t>実際の税額が上記のとおりになることを保証するものではございません</t>
    </r>
    <r>
      <rPr>
        <sz val="11"/>
        <color theme="1"/>
        <rFont val="ＭＳ Ｐゴシック"/>
        <family val="3"/>
        <charset val="128"/>
        <scheme val="minor"/>
      </rPr>
      <t>。</t>
    </r>
    <phoneticPr fontId="1"/>
  </si>
  <si>
    <r>
      <t>※加入期間1ヶ月あたりの金額です。</t>
    </r>
    <r>
      <rPr>
        <b/>
        <sz val="11"/>
        <color indexed="10"/>
        <rFont val="ＭＳ Ｐゴシック"/>
        <family val="3"/>
        <charset val="128"/>
      </rPr>
      <t>1回あたりの納付額ではありません。</t>
    </r>
    <rPh sb="1" eb="3">
      <t>カニュウ</t>
    </rPh>
    <rPh sb="3" eb="5">
      <t>キカン</t>
    </rPh>
    <rPh sb="7" eb="8">
      <t>ゲツ</t>
    </rPh>
    <rPh sb="12" eb="14">
      <t>キンガク</t>
    </rPh>
    <rPh sb="18" eb="19">
      <t>カイ</t>
    </rPh>
    <rPh sb="23" eb="25">
      <t>ノウフ</t>
    </rPh>
    <rPh sb="25" eb="26">
      <t>ガク</t>
    </rPh>
    <phoneticPr fontId="1"/>
  </si>
  <si>
    <t>青いセルに必要な情報を入力してください。</t>
    <rPh sb="0" eb="1">
      <t>アオ</t>
    </rPh>
    <rPh sb="5" eb="7">
      <t>ヒツヨウ</t>
    </rPh>
    <rPh sb="8" eb="10">
      <t>ジョウホウ</t>
    </rPh>
    <rPh sb="11" eb="13">
      <t>ニュウリョク</t>
    </rPh>
    <phoneticPr fontId="1"/>
  </si>
  <si>
    <t>【入力例】</t>
    <rPh sb="1" eb="3">
      <t>ニュウリョク</t>
    </rPh>
    <rPh sb="3" eb="4">
      <t>レイ</t>
    </rPh>
    <phoneticPr fontId="1"/>
  </si>
  <si>
    <t>世帯構成</t>
    <rPh sb="0" eb="2">
      <t>セタイ</t>
    </rPh>
    <rPh sb="2" eb="4">
      <t>コウセイ</t>
    </rPh>
    <phoneticPr fontId="1"/>
  </si>
  <si>
    <t>世帯主</t>
    <rPh sb="0" eb="3">
      <t>セタイヌシ</t>
    </rPh>
    <phoneticPr fontId="1"/>
  </si>
  <si>
    <t>所得</t>
    <rPh sb="0" eb="2">
      <t>ショトク</t>
    </rPh>
    <phoneticPr fontId="1"/>
  </si>
  <si>
    <t>固定資産税</t>
    <rPh sb="0" eb="2">
      <t>コテイ</t>
    </rPh>
    <rPh sb="2" eb="5">
      <t>シサンゼイ</t>
    </rPh>
    <phoneticPr fontId="1"/>
  </si>
  <si>
    <t>続柄</t>
    <rPh sb="0" eb="2">
      <t>ツヅキガラ</t>
    </rPh>
    <phoneticPr fontId="1"/>
  </si>
  <si>
    <t>妻</t>
    <rPh sb="0" eb="1">
      <t>ツマ</t>
    </rPh>
    <phoneticPr fontId="1"/>
  </si>
  <si>
    <t>所得なし</t>
    <rPh sb="0" eb="2">
      <t>ショトク</t>
    </rPh>
    <phoneticPr fontId="1"/>
  </si>
  <si>
    <t>子</t>
    <rPh sb="0" eb="1">
      <t>コ</t>
    </rPh>
    <phoneticPr fontId="1"/>
  </si>
  <si>
    <t>38歳</t>
    <rPh sb="2" eb="3">
      <t>サイ</t>
    </rPh>
    <phoneticPr fontId="1"/>
  </si>
  <si>
    <t>○山　○男</t>
    <rPh sb="1" eb="2">
      <t>ヤマ</t>
    </rPh>
    <rPh sb="4" eb="5">
      <t>オトコ</t>
    </rPh>
    <phoneticPr fontId="1"/>
  </si>
  <si>
    <t>○山　□子</t>
    <rPh sb="1" eb="2">
      <t>ヤマ</t>
    </rPh>
    <rPh sb="4" eb="5">
      <t>コ</t>
    </rPh>
    <phoneticPr fontId="1"/>
  </si>
  <si>
    <t>○山　△男</t>
    <rPh sb="1" eb="2">
      <t>ヤマ</t>
    </rPh>
    <rPh sb="4" eb="5">
      <t>オトコ</t>
    </rPh>
    <phoneticPr fontId="1"/>
  </si>
  <si>
    <t>○山　☆子</t>
    <rPh sb="1" eb="2">
      <t>ヤマ</t>
    </rPh>
    <rPh sb="4" eb="5">
      <t>コ</t>
    </rPh>
    <phoneticPr fontId="1"/>
  </si>
  <si>
    <t>子の妻</t>
    <rPh sb="0" eb="1">
      <t>コ</t>
    </rPh>
    <rPh sb="2" eb="3">
      <t>ツマ</t>
    </rPh>
    <phoneticPr fontId="1"/>
  </si>
  <si>
    <t>32歳</t>
    <rPh sb="2" eb="3">
      <t>サイ</t>
    </rPh>
    <phoneticPr fontId="1"/>
  </si>
  <si>
    <t>子の子</t>
    <rPh sb="0" eb="1">
      <t>コ</t>
    </rPh>
    <rPh sb="2" eb="3">
      <t>コ</t>
    </rPh>
    <phoneticPr fontId="1"/>
  </si>
  <si>
    <t>○山　◇子</t>
    <rPh sb="1" eb="2">
      <t>ヤマ</t>
    </rPh>
    <rPh sb="4" eb="5">
      <t>コ</t>
    </rPh>
    <phoneticPr fontId="1"/>
  </si>
  <si>
    <t>加入時期</t>
    <rPh sb="0" eb="2">
      <t>カニュウ</t>
    </rPh>
    <rPh sb="2" eb="4">
      <t>ジキ</t>
    </rPh>
    <phoneticPr fontId="1"/>
  </si>
  <si>
    <t>10歳</t>
    <rPh sb="2" eb="3">
      <t>サイ</t>
    </rPh>
    <phoneticPr fontId="1"/>
  </si>
  <si>
    <t>※計算結果は、ご入力いただいた情報を基にした概算額です。また、その他の条件により税額が大きく異なる場合もあります。</t>
    <rPh sb="1" eb="3">
      <t>ケイサン</t>
    </rPh>
    <rPh sb="3" eb="5">
      <t>ケッカ</t>
    </rPh>
    <rPh sb="8" eb="10">
      <t>ニュウリョク</t>
    </rPh>
    <rPh sb="15" eb="17">
      <t>ジョウホウ</t>
    </rPh>
    <rPh sb="18" eb="19">
      <t>モト</t>
    </rPh>
    <rPh sb="22" eb="24">
      <t>ガイサン</t>
    </rPh>
    <rPh sb="24" eb="25">
      <t>ガク</t>
    </rPh>
    <phoneticPr fontId="1"/>
  </si>
  <si>
    <t>税率決定</t>
    <rPh sb="0" eb="2">
      <t>ゼイリツ</t>
    </rPh>
    <rPh sb="2" eb="4">
      <t>ケッテイ</t>
    </rPh>
    <phoneticPr fontId="1"/>
  </si>
  <si>
    <t>※このExcelブックを許可無く改変・再配布することを禁じます。改変によりいかなる損害が生じても、当市では一切の責任を負いません。</t>
    <rPh sb="12" eb="14">
      <t>キョカ</t>
    </rPh>
    <rPh sb="14" eb="15">
      <t>ナ</t>
    </rPh>
    <rPh sb="16" eb="18">
      <t>カイヘン</t>
    </rPh>
    <rPh sb="19" eb="22">
      <t>サイハイフ</t>
    </rPh>
    <rPh sb="27" eb="28">
      <t>キン</t>
    </rPh>
    <rPh sb="32" eb="34">
      <t>カイヘン</t>
    </rPh>
    <rPh sb="41" eb="43">
      <t>ソンガイ</t>
    </rPh>
    <rPh sb="44" eb="45">
      <t>ショウ</t>
    </rPh>
    <rPh sb="49" eb="51">
      <t>トウシ</t>
    </rPh>
    <rPh sb="53" eb="55">
      <t>イッサイ</t>
    </rPh>
    <rPh sb="56" eb="58">
      <t>セキニン</t>
    </rPh>
    <rPh sb="59" eb="60">
      <t>オ</t>
    </rPh>
    <phoneticPr fontId="1"/>
  </si>
  <si>
    <r>
      <t>※このExcelブックは、富士市国民健康保険税条例に基づき計算を行います。</t>
    </r>
    <r>
      <rPr>
        <b/>
        <sz val="11"/>
        <color indexed="10"/>
        <rFont val="ＭＳ Ｐゴシック"/>
        <family val="3"/>
        <charset val="128"/>
      </rPr>
      <t>他市町村の保険税は計算できません</t>
    </r>
    <r>
      <rPr>
        <sz val="11"/>
        <color theme="1"/>
        <rFont val="ＭＳ Ｐゴシック"/>
        <family val="3"/>
        <charset val="128"/>
        <scheme val="minor"/>
      </rPr>
      <t>。</t>
    </r>
    <rPh sb="13" eb="16">
      <t>フジシ</t>
    </rPh>
    <rPh sb="16" eb="18">
      <t>コクミン</t>
    </rPh>
    <rPh sb="18" eb="20">
      <t>ケンコウ</t>
    </rPh>
    <rPh sb="20" eb="22">
      <t>ホケン</t>
    </rPh>
    <rPh sb="22" eb="23">
      <t>ゼイ</t>
    </rPh>
    <rPh sb="23" eb="25">
      <t>ジョウレイ</t>
    </rPh>
    <rPh sb="26" eb="27">
      <t>モト</t>
    </rPh>
    <rPh sb="29" eb="31">
      <t>ケイサン</t>
    </rPh>
    <rPh sb="32" eb="33">
      <t>オコナ</t>
    </rPh>
    <rPh sb="37" eb="38">
      <t>タ</t>
    </rPh>
    <rPh sb="38" eb="41">
      <t>シチョウソン</t>
    </rPh>
    <rPh sb="42" eb="44">
      <t>ホケン</t>
    </rPh>
    <rPh sb="44" eb="45">
      <t>ゼイ</t>
    </rPh>
    <rPh sb="46" eb="48">
      <t>ケイサン</t>
    </rPh>
    <phoneticPr fontId="1"/>
  </si>
  <si>
    <t>最終更新日</t>
    <rPh sb="0" eb="2">
      <t>サイシュウ</t>
    </rPh>
    <rPh sb="2" eb="5">
      <t>コウシンビ</t>
    </rPh>
    <phoneticPr fontId="1"/>
  </si>
  <si>
    <t>Ver</t>
    <phoneticPr fontId="1"/>
  </si>
  <si>
    <t>所得金額の計算について</t>
    <rPh sb="0" eb="2">
      <t>ショトク</t>
    </rPh>
    <rPh sb="2" eb="4">
      <t>キンガク</t>
    </rPh>
    <rPh sb="5" eb="7">
      <t>ケイサン</t>
    </rPh>
    <phoneticPr fontId="1"/>
  </si>
  <si>
    <t>総所得金額等</t>
    <rPh sb="0" eb="3">
      <t>ソウショトク</t>
    </rPh>
    <rPh sb="3" eb="5">
      <t>キンガク</t>
    </rPh>
    <rPh sb="5" eb="6">
      <t>トウ</t>
    </rPh>
    <phoneticPr fontId="1"/>
  </si>
  <si>
    <t>富士市Webサイト　国民健康保険税に関すること</t>
    <phoneticPr fontId="1"/>
  </si>
  <si>
    <t>国税庁Webサイト　公的年金等控除</t>
    <rPh sb="14" eb="15">
      <t>ナド</t>
    </rPh>
    <phoneticPr fontId="1"/>
  </si>
  <si>
    <t>63歳</t>
    <rPh sb="2" eb="3">
      <t>サイ</t>
    </rPh>
    <phoneticPr fontId="1"/>
  </si>
  <si>
    <t>※40歳を迎える誕生月から、65歳を迎える誕生月の前の月までは、国民健康保険税の中に介護納付金分が含まれます。</t>
    <phoneticPr fontId="1"/>
  </si>
  <si>
    <r>
      <t xml:space="preserve">   また、</t>
    </r>
    <r>
      <rPr>
        <b/>
        <sz val="11"/>
        <color indexed="10"/>
        <rFont val="ＭＳ Ｐゴシック"/>
        <family val="3"/>
        <charset val="128"/>
      </rPr>
      <t>このExcelブックの不具合等により試算結果が実際の税額と異なった場合であっても</t>
    </r>
    <r>
      <rPr>
        <sz val="11"/>
        <color theme="1"/>
        <rFont val="ＭＳ Ｐゴシック"/>
        <family val="3"/>
        <charset val="128"/>
        <scheme val="minor"/>
      </rPr>
      <t>当市は責任を負いません。</t>
    </r>
    <rPh sb="29" eb="31">
      <t>ジッサイ</t>
    </rPh>
    <rPh sb="32" eb="34">
      <t>ゼイガク</t>
    </rPh>
    <rPh sb="35" eb="36">
      <t>コト</t>
    </rPh>
    <rPh sb="50" eb="51">
      <t>ニン</t>
    </rPh>
    <phoneticPr fontId="1"/>
  </si>
  <si>
    <t>決定</t>
  </si>
  <si>
    <t>年金収入金額2,000,000円　→　所得金額1,225,000円</t>
    <rPh sb="0" eb="2">
      <t>ネンキン</t>
    </rPh>
    <rPh sb="2" eb="4">
      <t>シュウニュウ</t>
    </rPh>
    <rPh sb="4" eb="6">
      <t>キンガク</t>
    </rPh>
    <rPh sb="15" eb="16">
      <t>エン</t>
    </rPh>
    <rPh sb="19" eb="21">
      <t>ショトク</t>
    </rPh>
    <rPh sb="21" eb="23">
      <t>キンガク</t>
    </rPh>
    <rPh sb="32" eb="33">
      <t>エン</t>
    </rPh>
    <phoneticPr fontId="1"/>
  </si>
  <si>
    <t>パート　給与収入1,000,000円　→　給与所得金額450,000円</t>
    <rPh sb="4" eb="6">
      <t>キュウヨ</t>
    </rPh>
    <rPh sb="6" eb="8">
      <t>シュウニュウ</t>
    </rPh>
    <rPh sb="9" eb="18">
      <t>００００００エン</t>
    </rPh>
    <rPh sb="21" eb="23">
      <t>キュウヨ</t>
    </rPh>
    <rPh sb="23" eb="25">
      <t>ショトク</t>
    </rPh>
    <rPh sb="25" eb="27">
      <t>キンガク</t>
    </rPh>
    <rPh sb="30" eb="35">
      <t>０００エン</t>
    </rPh>
    <phoneticPr fontId="1"/>
  </si>
  <si>
    <t>パート　給与収入500,000円　→　給与所得金額0円</t>
    <rPh sb="4" eb="6">
      <t>キュウヨ</t>
    </rPh>
    <rPh sb="6" eb="8">
      <t>シュウニュウ</t>
    </rPh>
    <rPh sb="11" eb="16">
      <t>０００エン</t>
    </rPh>
    <rPh sb="19" eb="21">
      <t>キュウヨ</t>
    </rPh>
    <rPh sb="21" eb="23">
      <t>ショトク</t>
    </rPh>
    <rPh sb="23" eb="25">
      <t>キンガク</t>
    </rPh>
    <rPh sb="26" eb="27">
      <t>エン</t>
    </rPh>
    <phoneticPr fontId="1"/>
  </si>
  <si>
    <t>自営業　確定申告書Bの所得金額2,100,000円</t>
    <rPh sb="0" eb="3">
      <t>ジエイギョウ</t>
    </rPh>
    <rPh sb="4" eb="6">
      <t>カクテイ</t>
    </rPh>
    <rPh sb="6" eb="8">
      <t>シンコク</t>
    </rPh>
    <rPh sb="8" eb="9">
      <t>ショ</t>
    </rPh>
    <rPh sb="11" eb="13">
      <t>ショトク</t>
    </rPh>
    <rPh sb="13" eb="15">
      <t>キンガク</t>
    </rPh>
    <rPh sb="24" eb="25">
      <t>エン</t>
    </rPh>
    <phoneticPr fontId="1"/>
  </si>
  <si>
    <t>国税庁Webサイト　所得金額調整控除</t>
    <rPh sb="0" eb="3">
      <t>コクゼイチョウ</t>
    </rPh>
    <phoneticPr fontId="1"/>
  </si>
  <si>
    <r>
      <t>　</t>
    </r>
    <r>
      <rPr>
        <b/>
        <sz val="11"/>
        <color indexed="10"/>
        <rFont val="ＭＳ Ｐゴシック"/>
        <family val="3"/>
        <charset val="128"/>
      </rPr>
      <t>年度途中に40歳、または65歳を迎える場合、計算結果と税額が変わる場合がありますのでご了承ください。</t>
    </r>
    <phoneticPr fontId="1"/>
  </si>
  <si>
    <t>氏　　名</t>
    <rPh sb="0" eb="1">
      <t>ウジ</t>
    </rPh>
    <rPh sb="3" eb="4">
      <t>ナ</t>
    </rPh>
    <phoneticPr fontId="1"/>
  </si>
  <si>
    <t>年　齢</t>
    <rPh sb="0" eb="1">
      <t>ネン</t>
    </rPh>
    <rPh sb="2" eb="3">
      <t>トシ</t>
    </rPh>
    <phoneticPr fontId="1"/>
  </si>
  <si>
    <t>1.07</t>
    <phoneticPr fontId="1"/>
  </si>
  <si>
    <t>※計算結果には、低所得者に対する軽減や未就学児均等割軽減、非自発的失業者に対する軽減は反映されておりません。</t>
    <rPh sb="1" eb="3">
      <t>ケイサン</t>
    </rPh>
    <rPh sb="3" eb="5">
      <t>ケッカ</t>
    </rPh>
    <rPh sb="8" eb="11">
      <t>テイショトク</t>
    </rPh>
    <rPh sb="11" eb="12">
      <t>シャ</t>
    </rPh>
    <rPh sb="13" eb="14">
      <t>タイ</t>
    </rPh>
    <rPh sb="16" eb="18">
      <t>ケイゲン</t>
    </rPh>
    <rPh sb="19" eb="23">
      <t>ミシュウガクジ</t>
    </rPh>
    <rPh sb="23" eb="26">
      <t>キントウワ</t>
    </rPh>
    <rPh sb="26" eb="28">
      <t>ケイゲン</t>
    </rPh>
    <rPh sb="29" eb="30">
      <t>ヒ</t>
    </rPh>
    <rPh sb="30" eb="33">
      <t>ジハツテキ</t>
    </rPh>
    <rPh sb="33" eb="36">
      <t>シツギョウシャ</t>
    </rPh>
    <rPh sb="37" eb="38">
      <t>タイ</t>
    </rPh>
    <rPh sb="40" eb="42">
      <t>ケイゲン</t>
    </rPh>
    <rPh sb="43" eb="45">
      <t>ハンエイ</t>
    </rPh>
    <phoneticPr fontId="1"/>
  </si>
  <si>
    <t>令和5</t>
    <rPh sb="0" eb="2">
      <t>レイワ</t>
    </rPh>
    <phoneticPr fontId="1"/>
  </si>
  <si>
    <t>試算日</t>
    <rPh sb="0" eb="2">
      <t>シサン</t>
    </rPh>
    <rPh sb="2" eb="3">
      <t>ビ</t>
    </rPh>
    <phoneticPr fontId="1"/>
  </si>
  <si>
    <t>※令和５年度より資産割廃止に伴い、固定資産税額の入力は不要になりました。</t>
    <rPh sb="1" eb="3">
      <t>レイワ</t>
    </rPh>
    <rPh sb="4" eb="6">
      <t>ネンド</t>
    </rPh>
    <rPh sb="8" eb="10">
      <t>シサン</t>
    </rPh>
    <rPh sb="10" eb="11">
      <t>ワリ</t>
    </rPh>
    <rPh sb="11" eb="13">
      <t>ハイシ</t>
    </rPh>
    <rPh sb="14" eb="15">
      <t>トモナ</t>
    </rPh>
    <rPh sb="17" eb="19">
      <t>コテイ</t>
    </rPh>
    <rPh sb="19" eb="22">
      <t>シサンゼイ</t>
    </rPh>
    <rPh sb="22" eb="23">
      <t>ガク</t>
    </rPh>
    <rPh sb="24" eb="26">
      <t>ニュウリョク</t>
    </rPh>
    <rPh sb="27" eb="29">
      <t>フヨウ</t>
    </rPh>
    <phoneticPr fontId="1"/>
  </si>
  <si>
    <t>令和６年４月～令和７年３月までの場合、加入月数は１２ヶ月</t>
    <rPh sb="0" eb="2">
      <t>レイワ</t>
    </rPh>
    <rPh sb="3" eb="4">
      <t>ネン</t>
    </rPh>
    <rPh sb="5" eb="6">
      <t>ガツ</t>
    </rPh>
    <rPh sb="7" eb="9">
      <t>レイワ</t>
    </rPh>
    <rPh sb="10" eb="11">
      <t>ネン</t>
    </rPh>
    <rPh sb="12" eb="13">
      <t>ガツ</t>
    </rPh>
    <rPh sb="16" eb="18">
      <t>バアイ</t>
    </rPh>
    <rPh sb="19" eb="21">
      <t>カニュウ</t>
    </rPh>
    <rPh sb="21" eb="23">
      <t>ツキスウ</t>
    </rPh>
    <rPh sb="27" eb="28">
      <t>ゲツ</t>
    </rPh>
    <phoneticPr fontId="1"/>
  </si>
  <si>
    <t>令和６年度</t>
    <rPh sb="0" eb="2">
      <t>レイワ</t>
    </rPh>
    <rPh sb="3" eb="5">
      <t>ネンド</t>
    </rPh>
    <phoneticPr fontId="1"/>
  </si>
  <si>
    <t>令和6</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</si>
</sst>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5">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b/>
      <sz val="9"/>
      <color indexed="81"/>
      <name val="ＭＳ Ｐゴシック"/>
      <family val="3"/>
      <charset val="128"/>
    </font>
    <font>
      <b/>
      <sz val="9"/>
      <color indexed="10"/>
      <name val="ＭＳ Ｐゴシック"/>
      <family val="3"/>
      <charset val="128"/>
    </font>
    <font>
      <b/>
      <sz val="9"/>
      <color indexed="17"/>
      <name val="ＭＳ Ｐゴシック"/>
      <family val="3"/>
      <charset val="128"/>
    </font>
    <font>
      <b/>
      <sz val="11"/>
      <color indexed="10"/>
      <name val="ＭＳ Ｐゴシック"/>
      <family val="3"/>
      <charset val="128"/>
    </font>
    <font>
      <b/>
      <sz val="9"/>
      <color indexed="8"/>
      <name val="ＭＳ Ｐゴシック"/>
      <family val="3"/>
      <charset val="128"/>
    </font>
    <font>
      <sz val="11"/>
      <color theme="0"/>
      <name val="ＭＳ Ｐゴシック"/>
      <family val="3"/>
      <charset val="128"/>
      <scheme val="minor"/>
    </font>
    <font>
      <u/>
      <sz val="11"/>
      <color theme="10"/>
      <name val="ＭＳ Ｐゴシック"/>
      <family val="3"/>
      <charset val="128"/>
    </font>
    <font>
      <b/>
      <sz val="11"/>
      <color rgb="FFFF0000"/>
      <name val="ＭＳ Ｐゴシック"/>
      <family val="3"/>
      <charset val="128"/>
      <scheme val="minor"/>
    </font>
    <font>
      <sz val="11"/>
      <color theme="1"/>
      <name val="ＭＳ Ｐゴシック"/>
      <family val="3"/>
      <charset val="128"/>
    </font>
    <font>
      <b/>
      <sz val="11"/>
      <color theme="1"/>
      <name val="ＭＳ Ｐゴシック"/>
      <family val="3"/>
      <charset val="128"/>
      <scheme val="minor"/>
    </font>
    <font>
      <b/>
      <sz val="9"/>
      <color indexed="81"/>
      <name val="MS P ゴシック"/>
      <family val="3"/>
      <charset val="128"/>
    </font>
    <font>
      <sz val="10"/>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79998168889431442"/>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43">
    <xf numFmtId="0" fontId="0" fillId="0" borderId="0" xfId="0">
      <alignment vertical="center"/>
    </xf>
    <xf numFmtId="0" fontId="0" fillId="0" borderId="0" xfId="0" applyAlignment="1">
      <alignment vertical="center"/>
    </xf>
    <xf numFmtId="49" fontId="0" fillId="0" borderId="0" xfId="0" applyNumberFormat="1" applyAlignment="1">
      <alignment horizontal="right" vertical="center"/>
    </xf>
    <xf numFmtId="0" fontId="0" fillId="2" borderId="1" xfId="0" applyFill="1" applyBorder="1" applyProtection="1">
      <alignment vertical="center"/>
      <protection locked="0"/>
    </xf>
    <xf numFmtId="176" fontId="0" fillId="2" borderId="1" xfId="0" applyNumberFormat="1" applyFill="1" applyBorder="1" applyProtection="1">
      <alignment vertical="center"/>
      <protection locked="0"/>
    </xf>
    <xf numFmtId="0" fontId="8" fillId="0" borderId="0" xfId="0" applyFont="1">
      <alignment vertical="center"/>
    </xf>
    <xf numFmtId="0" fontId="10" fillId="0" borderId="0" xfId="0" applyFont="1">
      <alignment vertical="center"/>
    </xf>
    <xf numFmtId="0" fontId="0" fillId="0" borderId="0" xfId="0" applyProtection="1">
      <alignment vertical="center"/>
    </xf>
    <xf numFmtId="0" fontId="0" fillId="0" borderId="0" xfId="0" applyAlignment="1">
      <alignment vertical="center"/>
    </xf>
    <xf numFmtId="0" fontId="11" fillId="0" borderId="0" xfId="0" applyFont="1" applyAlignment="1" applyProtection="1">
      <alignment vertical="center" wrapText="1"/>
    </xf>
    <xf numFmtId="0" fontId="0" fillId="0" borderId="0" xfId="0" applyAlignment="1">
      <alignment vertical="center"/>
    </xf>
    <xf numFmtId="0" fontId="9" fillId="0" borderId="0" xfId="1" applyAlignment="1" applyProtection="1">
      <alignment vertical="center"/>
    </xf>
    <xf numFmtId="176" fontId="0" fillId="3" borderId="1" xfId="0" applyNumberFormat="1" applyFill="1" applyBorder="1">
      <alignment vertical="center"/>
    </xf>
    <xf numFmtId="0" fontId="12" fillId="0" borderId="0" xfId="0" applyFont="1">
      <alignment vertical="center"/>
    </xf>
    <xf numFmtId="0" fontId="0" fillId="4" borderId="1" xfId="0" applyFill="1" applyBorder="1">
      <alignment vertical="center"/>
    </xf>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0" fillId="2" borderId="1" xfId="0" applyFill="1" applyBorder="1" applyAlignment="1" applyProtection="1">
      <alignment horizontal="right" vertical="center"/>
      <protection locked="0"/>
    </xf>
    <xf numFmtId="176" fontId="0" fillId="3" borderId="4" xfId="0" applyNumberFormat="1" applyFill="1" applyBorder="1">
      <alignment vertical="center"/>
    </xf>
    <xf numFmtId="176" fontId="0" fillId="3" borderId="5" xfId="0" applyNumberFormat="1" applyFill="1" applyBorder="1">
      <alignment vertical="center"/>
    </xf>
    <xf numFmtId="176" fontId="0" fillId="4" borderId="1" xfId="0" applyNumberFormat="1" applyFill="1" applyBorder="1">
      <alignment vertical="center"/>
    </xf>
    <xf numFmtId="176" fontId="12" fillId="4" borderId="3" xfId="0" applyNumberFormat="1" applyFont="1" applyFill="1" applyBorder="1">
      <alignment vertical="center"/>
    </xf>
    <xf numFmtId="0" fontId="12" fillId="0" borderId="0" xfId="0" applyFont="1" applyAlignment="1">
      <alignment vertical="center"/>
    </xf>
    <xf numFmtId="0" fontId="10" fillId="0" borderId="0" xfId="0" applyFont="1" applyProtection="1">
      <alignment vertical="center"/>
    </xf>
    <xf numFmtId="0" fontId="0" fillId="0" borderId="0" xfId="0" applyAlignment="1">
      <alignment vertical="center"/>
    </xf>
    <xf numFmtId="0" fontId="0" fillId="0" borderId="0" xfId="0" applyNumberFormat="1">
      <alignment vertical="center"/>
    </xf>
    <xf numFmtId="177" fontId="0" fillId="0" borderId="0" xfId="0" applyNumberFormat="1">
      <alignment vertical="center"/>
    </xf>
    <xf numFmtId="14" fontId="0" fillId="0" borderId="0" xfId="0" applyNumberFormat="1">
      <alignment vertical="center"/>
    </xf>
    <xf numFmtId="0" fontId="12" fillId="0" borderId="0" xfId="0" applyFont="1" applyProtection="1">
      <alignment vertical="center"/>
    </xf>
    <xf numFmtId="0" fontId="14" fillId="0" borderId="0" xfId="0" applyFont="1" applyProtection="1">
      <alignment vertical="center"/>
    </xf>
    <xf numFmtId="14" fontId="0" fillId="0" borderId="0" xfId="0" applyNumberFormat="1" applyAlignment="1">
      <alignment horizontal="right" vertical="center"/>
    </xf>
    <xf numFmtId="0" fontId="0" fillId="0" borderId="0" xfId="0" applyAlignment="1">
      <alignment horizontal="left" vertical="center"/>
    </xf>
    <xf numFmtId="0" fontId="0" fillId="0" borderId="0" xfId="0" applyAlignment="1">
      <alignment vertical="center"/>
    </xf>
    <xf numFmtId="0" fontId="9" fillId="0" borderId="0" xfId="1" applyAlignment="1" applyProtection="1">
      <alignment vertical="center"/>
    </xf>
    <xf numFmtId="0" fontId="0" fillId="0" borderId="0" xfId="0" applyAlignment="1">
      <alignment vertical="center" shrinkToFit="1"/>
    </xf>
    <xf numFmtId="0" fontId="0" fillId="0" borderId="0" xfId="0" applyBorder="1" applyAlignment="1">
      <alignment vertical="center" shrinkToFit="1"/>
    </xf>
    <xf numFmtId="0" fontId="10" fillId="0" borderId="0" xfId="0" applyFont="1" applyAlignment="1">
      <alignment vertical="center"/>
    </xf>
    <xf numFmtId="0" fontId="12" fillId="0" borderId="0" xfId="0" applyFont="1" applyFill="1" applyBorder="1" applyAlignment="1" applyProtection="1">
      <alignment vertical="center"/>
      <protection locked="0"/>
    </xf>
    <xf numFmtId="0" fontId="12" fillId="0" borderId="0" xfId="0" applyFont="1" applyAlignment="1">
      <alignment vertical="center"/>
    </xf>
    <xf numFmtId="14" fontId="0" fillId="0" borderId="0" xfId="0" applyNumberFormat="1" applyAlignment="1">
      <alignment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0" xfId="0" applyAlignment="1" applyProtection="1">
      <alignment vertical="center"/>
    </xf>
  </cellXfs>
  <cellStyles count="2">
    <cellStyle name="ハイパーリンク" xfId="1" builtinId="8"/>
    <cellStyle name="標準" xfId="0" builtinId="0"/>
  </cellStyles>
  <dxfs count="1">
    <dxf>
      <fill>
        <patternFill patternType="lightUp">
          <bgColor theme="9" tint="0.79998168889431442"/>
        </patternFill>
      </fill>
    </dxf>
  </dxfs>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nta.go.jp/taxes/shiraberu/taxanswer/shotoku/1600.htm" TargetMode="External"/><Relationship Id="rId2" Type="http://schemas.openxmlformats.org/officeDocument/2006/relationships/hyperlink" Target="https://www.nta.go.jp/taxes/shiraberu/taxanswer/shotoku/1410.htm" TargetMode="External"/><Relationship Id="rId1" Type="http://schemas.openxmlformats.org/officeDocument/2006/relationships/hyperlink" Target="https://www.city.fuji.shizuoka.jp/kenkou/c0604/fmervo000000kao8.html" TargetMode="External"/><Relationship Id="rId5" Type="http://schemas.openxmlformats.org/officeDocument/2006/relationships/hyperlink" Target="https://www.nta.go.jp/taxes/shiraberu/taxanswer/shotoku/1411.htm" TargetMode="External"/><Relationship Id="rId4" Type="http://schemas.openxmlformats.org/officeDocument/2006/relationships/hyperlink" Target="https://www.city.fuji.shizuoka.jp/kenkou/c0604/fmervo000000kie5.html"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28574</xdr:colOff>
      <xdr:row>29</xdr:row>
      <xdr:rowOff>19049</xdr:rowOff>
    </xdr:from>
    <xdr:to>
      <xdr:col>7</xdr:col>
      <xdr:colOff>304799</xdr:colOff>
      <xdr:row>29</xdr:row>
      <xdr:rowOff>142874</xdr:rowOff>
    </xdr:to>
    <xdr:sp macro="" textlink="">
      <xdr:nvSpPr>
        <xdr:cNvPr id="2" name="正方形/長方形 1">
          <a:hlinkClick xmlns:r="http://schemas.openxmlformats.org/officeDocument/2006/relationships" r:id="rId1"/>
        </xdr:cNvPr>
        <xdr:cNvSpPr/>
      </xdr:nvSpPr>
      <xdr:spPr>
        <a:xfrm>
          <a:off x="2457449" y="4648199"/>
          <a:ext cx="2867025"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3</xdr:col>
      <xdr:colOff>38100</xdr:colOff>
      <xdr:row>31</xdr:row>
      <xdr:rowOff>28574</xdr:rowOff>
    </xdr:from>
    <xdr:to>
      <xdr:col>6</xdr:col>
      <xdr:colOff>85725</xdr:colOff>
      <xdr:row>31</xdr:row>
      <xdr:rowOff>152399</xdr:rowOff>
    </xdr:to>
    <xdr:sp macro="" textlink="">
      <xdr:nvSpPr>
        <xdr:cNvPr id="3" name="正方形/長方形 2">
          <a:hlinkClick xmlns:r="http://schemas.openxmlformats.org/officeDocument/2006/relationships" r:id="rId2"/>
        </xdr:cNvPr>
        <xdr:cNvSpPr/>
      </xdr:nvSpPr>
      <xdr:spPr>
        <a:xfrm>
          <a:off x="2466975" y="5000624"/>
          <a:ext cx="1952625"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3</xdr:col>
      <xdr:colOff>19311</xdr:colOff>
      <xdr:row>32</xdr:row>
      <xdr:rowOff>12256</xdr:rowOff>
    </xdr:from>
    <xdr:to>
      <xdr:col>6</xdr:col>
      <xdr:colOff>210552</xdr:colOff>
      <xdr:row>32</xdr:row>
      <xdr:rowOff>150396</xdr:rowOff>
    </xdr:to>
    <xdr:sp macro="" textlink="">
      <xdr:nvSpPr>
        <xdr:cNvPr id="4" name="正方形/長方形 3">
          <a:hlinkClick xmlns:r="http://schemas.openxmlformats.org/officeDocument/2006/relationships" r:id="rId3"/>
        </xdr:cNvPr>
        <xdr:cNvSpPr/>
      </xdr:nvSpPr>
      <xdr:spPr>
        <a:xfrm>
          <a:off x="2455706" y="5125677"/>
          <a:ext cx="2096241" cy="138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3</xdr:col>
      <xdr:colOff>28575</xdr:colOff>
      <xdr:row>35</xdr:row>
      <xdr:rowOff>38100</xdr:rowOff>
    </xdr:from>
    <xdr:to>
      <xdr:col>8</xdr:col>
      <xdr:colOff>514350</xdr:colOff>
      <xdr:row>35</xdr:row>
      <xdr:rowOff>161925</xdr:rowOff>
    </xdr:to>
    <xdr:sp macro="" textlink="">
      <xdr:nvSpPr>
        <xdr:cNvPr id="5" name="正方形/長方形 4">
          <a:hlinkClick xmlns:r="http://schemas.openxmlformats.org/officeDocument/2006/relationships" r:id="rId4"/>
        </xdr:cNvPr>
        <xdr:cNvSpPr/>
      </xdr:nvSpPr>
      <xdr:spPr>
        <a:xfrm>
          <a:off x="2457450" y="5524500"/>
          <a:ext cx="3819525"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3</xdr:col>
      <xdr:colOff>7781</xdr:colOff>
      <xdr:row>33</xdr:row>
      <xdr:rowOff>10751</xdr:rowOff>
    </xdr:from>
    <xdr:to>
      <xdr:col>6</xdr:col>
      <xdr:colOff>428625</xdr:colOff>
      <xdr:row>34</xdr:row>
      <xdr:rowOff>9524</xdr:rowOff>
    </xdr:to>
    <xdr:sp macro="" textlink="">
      <xdr:nvSpPr>
        <xdr:cNvPr id="6" name="正方形/長方形 5">
          <a:hlinkClick xmlns:r="http://schemas.openxmlformats.org/officeDocument/2006/relationships" r:id="rId5"/>
        </xdr:cNvPr>
        <xdr:cNvSpPr/>
      </xdr:nvSpPr>
      <xdr:spPr>
        <a:xfrm>
          <a:off x="2436656" y="5668601"/>
          <a:ext cx="2325844" cy="1702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800100</xdr:colOff>
      <xdr:row>21</xdr:row>
      <xdr:rowOff>0</xdr:rowOff>
    </xdr:from>
    <xdr:to>
      <xdr:col>14</xdr:col>
      <xdr:colOff>256002</xdr:colOff>
      <xdr:row>42</xdr:row>
      <xdr:rowOff>37643</xdr:rowOff>
    </xdr:to>
    <xdr:pic>
      <xdr:nvPicPr>
        <xdr:cNvPr id="4" name="図 3"/>
        <xdr:cNvPicPr>
          <a:picLocks noChangeAspect="1"/>
        </xdr:cNvPicPr>
      </xdr:nvPicPr>
      <xdr:blipFill>
        <a:blip xmlns:r="http://schemas.openxmlformats.org/officeDocument/2006/relationships" r:embed="rId1"/>
        <a:stretch>
          <a:fillRect/>
        </a:stretch>
      </xdr:blipFill>
      <xdr:spPr>
        <a:xfrm>
          <a:off x="1028700" y="3600450"/>
          <a:ext cx="9380952" cy="3657143"/>
        </a:xfrm>
        <a:prstGeom prst="rect">
          <a:avLst/>
        </a:prstGeom>
        <a:ln>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city.fuji.shizuoka.jp/hp/menu000031100/hpg000031026.htm" TargetMode="External"/><Relationship Id="rId7" Type="http://schemas.openxmlformats.org/officeDocument/2006/relationships/drawing" Target="../drawings/drawing1.xml"/><Relationship Id="rId2" Type="http://schemas.openxmlformats.org/officeDocument/2006/relationships/hyperlink" Target="http://www.nta.go.jp/taxanswer/shotoku/1600.htm" TargetMode="External"/><Relationship Id="rId1" Type="http://schemas.openxmlformats.org/officeDocument/2006/relationships/hyperlink" Target="http://www.nta.go.jp/taxanswer/shotoku/1410.htm" TargetMode="External"/><Relationship Id="rId6" Type="http://schemas.openxmlformats.org/officeDocument/2006/relationships/printerSettings" Target="../printerSettings/printerSettings1.bin"/><Relationship Id="rId5" Type="http://schemas.openxmlformats.org/officeDocument/2006/relationships/hyperlink" Target="https://www.nta.go.jp/taxes/shiraberu/taxanswer/shotoku/1411.htm" TargetMode="External"/><Relationship Id="rId4" Type="http://schemas.openxmlformats.org/officeDocument/2006/relationships/hyperlink" Target="http://www.city.fuji.shizuoka.jp/hp/page000031100/hpg000031028.htm"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W36"/>
  <sheetViews>
    <sheetView showGridLines="0" tabSelected="1" zoomScaleNormal="100" workbookViewId="0">
      <selection activeCell="B13" sqref="B13"/>
    </sheetView>
  </sheetViews>
  <sheetFormatPr defaultRowHeight="13.5"/>
  <cols>
    <col min="1" max="1" width="2.625" customWidth="1"/>
    <col min="2" max="2" width="16.25" customWidth="1"/>
    <col min="3" max="4" width="13" bestFit="1" customWidth="1"/>
    <col min="6" max="6" width="3" customWidth="1"/>
    <col min="7" max="7" width="6.5" customWidth="1"/>
    <col min="8" max="11" width="9.75" customWidth="1"/>
    <col min="12" max="12" width="11.5" bestFit="1" customWidth="1"/>
    <col min="15" max="15" width="11.625" bestFit="1" customWidth="1"/>
    <col min="17" max="17" width="9.5" hidden="1" customWidth="1"/>
    <col min="18" max="18" width="9.5" bestFit="1" customWidth="1"/>
  </cols>
  <sheetData>
    <row r="1" spans="2:23" ht="18" customHeight="1"/>
    <row r="2" spans="2:23" ht="18" customHeight="1">
      <c r="B2" s="17" t="s">
        <v>108</v>
      </c>
      <c r="C2" s="40" t="s">
        <v>32</v>
      </c>
      <c r="D2" s="41"/>
      <c r="E2" s="41"/>
      <c r="F2" s="24"/>
      <c r="G2" s="36" t="str">
        <f>IF(LEN(B2)&gt;0,IF(ISERROR(VLOOKUP(B2,税率!A:P,1,FALSE)),"サポートされていない年度です。このファイルでは計算できません。",""),"年度を入力してください。")</f>
        <v/>
      </c>
      <c r="H2" s="36"/>
      <c r="I2" s="36"/>
      <c r="J2" s="36"/>
      <c r="K2" s="36"/>
      <c r="L2" s="36"/>
    </row>
    <row r="3" spans="2:23" ht="18" customHeight="1">
      <c r="B3" s="37" t="s">
        <v>58</v>
      </c>
      <c r="C3" s="38"/>
      <c r="D3" s="38"/>
      <c r="E3" s="38"/>
      <c r="F3" s="1"/>
      <c r="G3" s="1" t="s">
        <v>84</v>
      </c>
      <c r="H3" s="2" t="s">
        <v>101</v>
      </c>
      <c r="I3" s="1"/>
      <c r="J3" s="32" t="s">
        <v>83</v>
      </c>
      <c r="K3" s="32"/>
      <c r="L3" s="39">
        <v>45287</v>
      </c>
      <c r="M3" s="32"/>
    </row>
    <row r="4" spans="2:23" ht="18" customHeight="1">
      <c r="J4" s="31" t="s">
        <v>104</v>
      </c>
      <c r="K4" s="31"/>
      <c r="L4" s="30">
        <f ca="1">TODAY()</f>
        <v>45315</v>
      </c>
      <c r="M4" s="30"/>
      <c r="Q4" s="27">
        <f>DATEVALUE(B2&amp;"年4月1日")</f>
        <v>45383</v>
      </c>
    </row>
    <row r="5" spans="2:23" ht="18" customHeight="1">
      <c r="B5" s="16" t="s">
        <v>99</v>
      </c>
      <c r="C5" s="16" t="s">
        <v>86</v>
      </c>
      <c r="D5" s="16" t="s">
        <v>1</v>
      </c>
      <c r="E5" s="16" t="s">
        <v>100</v>
      </c>
      <c r="G5" s="13" t="s">
        <v>49</v>
      </c>
      <c r="O5" s="26"/>
    </row>
    <row r="6" spans="2:23" ht="18" customHeight="1">
      <c r="B6" s="3"/>
      <c r="C6" s="4"/>
      <c r="D6" s="4"/>
      <c r="E6" s="3"/>
      <c r="F6" s="5" t="b">
        <f>IF(AND(LEN(D11)&gt;0,LEN(E6)=0),TRUE,FALSE)</f>
        <v>0</v>
      </c>
      <c r="G6" s="14"/>
      <c r="H6" s="15" t="s">
        <v>5</v>
      </c>
      <c r="I6" s="15" t="s">
        <v>4</v>
      </c>
      <c r="J6" s="15" t="s">
        <v>6</v>
      </c>
      <c r="K6" s="15" t="s">
        <v>11</v>
      </c>
      <c r="L6" s="15" t="s">
        <v>17</v>
      </c>
      <c r="O6" s="25"/>
    </row>
    <row r="7" spans="2:23" ht="18" customHeight="1">
      <c r="B7" s="3"/>
      <c r="C7" s="4"/>
      <c r="D7" s="4"/>
      <c r="E7" s="3"/>
      <c r="F7" s="5" t="b">
        <f t="shared" ref="F7:F13" si="0">IF(AND(LEN(B7)&gt;0,LEN(E7)=0),TRUE,FALSE)</f>
        <v>0</v>
      </c>
      <c r="G7" s="15" t="s">
        <v>3</v>
      </c>
      <c r="H7" s="12">
        <f>計算!G11</f>
        <v>0</v>
      </c>
      <c r="I7" s="12">
        <f>計算!F11</f>
        <v>0</v>
      </c>
      <c r="J7" s="12">
        <f>計算!H11</f>
        <v>0</v>
      </c>
      <c r="K7" s="12">
        <f>計算!C14</f>
        <v>0</v>
      </c>
      <c r="L7" s="12">
        <f>計算!J18</f>
        <v>0</v>
      </c>
    </row>
    <row r="8" spans="2:23" ht="18" customHeight="1">
      <c r="B8" s="3"/>
      <c r="C8" s="4"/>
      <c r="D8" s="4"/>
      <c r="E8" s="3"/>
      <c r="F8" s="5" t="b">
        <f t="shared" si="0"/>
        <v>0</v>
      </c>
      <c r="G8" s="15" t="s">
        <v>7</v>
      </c>
      <c r="H8" s="12">
        <f>計算!J11</f>
        <v>0</v>
      </c>
      <c r="I8" s="12">
        <f>計算!I11</f>
        <v>0</v>
      </c>
      <c r="J8" s="12">
        <f>計算!K11</f>
        <v>0</v>
      </c>
      <c r="K8" s="12">
        <f>計算!D14</f>
        <v>0</v>
      </c>
      <c r="L8" s="12">
        <f>計算!K18</f>
        <v>0</v>
      </c>
      <c r="S8" t="str">
        <f>MID(Q8,2,1)</f>
        <v/>
      </c>
      <c r="T8" t="str">
        <f>MID(Q8,3,1)</f>
        <v/>
      </c>
      <c r="U8" t="str">
        <f>MID($Q$8,4,1)</f>
        <v/>
      </c>
      <c r="V8" t="str">
        <f>MID($Q$8,5,1)</f>
        <v/>
      </c>
      <c r="W8" t="str">
        <f>MID($Q$8,6,1)</f>
        <v/>
      </c>
    </row>
    <row r="9" spans="2:23" ht="18" customHeight="1" thickBot="1">
      <c r="B9" s="3"/>
      <c r="C9" s="4"/>
      <c r="D9" s="4"/>
      <c r="E9" s="3"/>
      <c r="F9" s="5" t="b">
        <f t="shared" si="0"/>
        <v>0</v>
      </c>
      <c r="G9" s="15" t="s">
        <v>8</v>
      </c>
      <c r="H9" s="12">
        <f>計算!M11</f>
        <v>0</v>
      </c>
      <c r="I9" s="12">
        <f>計算!L11</f>
        <v>0</v>
      </c>
      <c r="J9" s="12">
        <f>計算!N11</f>
        <v>0</v>
      </c>
      <c r="K9" s="12">
        <f>計算!E14</f>
        <v>0</v>
      </c>
      <c r="L9" s="19">
        <f>計算!L18</f>
        <v>0</v>
      </c>
      <c r="Q9" s="26"/>
      <c r="R9" s="26"/>
    </row>
    <row r="10" spans="2:23" ht="18" customHeight="1" thickBot="1">
      <c r="B10" s="3"/>
      <c r="C10" s="4"/>
      <c r="D10" s="4"/>
      <c r="E10" s="3"/>
      <c r="F10" s="5" t="b">
        <f t="shared" si="0"/>
        <v>0</v>
      </c>
      <c r="G10" s="15" t="s">
        <v>17</v>
      </c>
      <c r="H10" s="12">
        <f>SUM(H7:H9)</f>
        <v>0</v>
      </c>
      <c r="I10" s="12">
        <f>SUM(I7:I9)</f>
        <v>0</v>
      </c>
      <c r="J10" s="12">
        <f>SUM(J7:J9)</f>
        <v>0</v>
      </c>
      <c r="K10" s="18">
        <f>SUM(K7:K9)</f>
        <v>0</v>
      </c>
      <c r="L10" s="21">
        <f>SUM(L7:L9)</f>
        <v>0</v>
      </c>
      <c r="Q10" s="26"/>
      <c r="R10" s="26"/>
    </row>
    <row r="11" spans="2:23" ht="18" customHeight="1">
      <c r="B11" s="3"/>
      <c r="C11" s="4"/>
      <c r="D11" s="4"/>
      <c r="E11" s="3"/>
      <c r="F11" s="5" t="b">
        <f t="shared" si="0"/>
        <v>0</v>
      </c>
      <c r="G11" s="6" t="str">
        <f>IF(AND(B16&gt;=1,B16&lt;=12),"※" &amp; B16 &amp; "ヶ月分の保険税です","※加入月数を入力してください")</f>
        <v>※12ヶ月分の保険税です</v>
      </c>
      <c r="Q11" s="26"/>
    </row>
    <row r="12" spans="2:23" ht="18" customHeight="1">
      <c r="B12" s="3"/>
      <c r="C12" s="4"/>
      <c r="D12" s="4"/>
      <c r="E12" s="3"/>
      <c r="F12" s="5" t="b">
        <f t="shared" si="0"/>
        <v>0</v>
      </c>
      <c r="G12" s="6" t="str">
        <f>IF(OR(F6,F7,F8,F9,F10,F11,F12,F13),"※年齢を入力してください","")</f>
        <v/>
      </c>
    </row>
    <row r="13" spans="2:23" ht="18" customHeight="1">
      <c r="B13" s="3"/>
      <c r="C13" s="4"/>
      <c r="D13" s="4"/>
      <c r="E13" s="3"/>
      <c r="F13" s="5" t="b">
        <f t="shared" si="0"/>
        <v>0</v>
      </c>
      <c r="G13" s="32" t="s">
        <v>19</v>
      </c>
      <c r="H13" s="32"/>
      <c r="I13" s="32"/>
      <c r="J13" s="32"/>
      <c r="K13" s="32"/>
      <c r="L13" s="32"/>
    </row>
    <row r="14" spans="2:23" ht="18" customHeight="1">
      <c r="G14" s="34" t="s">
        <v>20</v>
      </c>
      <c r="H14" s="35"/>
      <c r="I14" s="20">
        <f>IF(AND(B16&gt;=1,B16&lt;=12),ROUNDDOWN(L10/B16,0),"")</f>
        <v>0</v>
      </c>
      <c r="J14" t="s">
        <v>21</v>
      </c>
    </row>
    <row r="15" spans="2:23" ht="18" customHeight="1">
      <c r="B15" t="s">
        <v>16</v>
      </c>
      <c r="G15" s="32" t="s">
        <v>57</v>
      </c>
      <c r="H15" s="32"/>
      <c r="I15" s="32"/>
      <c r="J15" s="32"/>
      <c r="K15" s="32"/>
      <c r="L15" s="32"/>
      <c r="M15" s="32"/>
    </row>
    <row r="16" spans="2:23" ht="18" customHeight="1">
      <c r="B16" s="3">
        <v>12</v>
      </c>
      <c r="C16" t="s">
        <v>18</v>
      </c>
    </row>
    <row r="17" spans="2:12" ht="18" customHeight="1"/>
    <row r="18" spans="2:12" ht="18" customHeight="1">
      <c r="B18" s="32" t="s">
        <v>79</v>
      </c>
      <c r="C18" s="32"/>
      <c r="D18" s="32"/>
      <c r="E18" s="32"/>
      <c r="F18" s="32"/>
      <c r="G18" s="32"/>
      <c r="H18" s="32"/>
      <c r="I18" s="32"/>
      <c r="J18" s="32"/>
      <c r="K18" s="32"/>
      <c r="L18" s="32"/>
    </row>
    <row r="19" spans="2:12" ht="18" customHeight="1">
      <c r="B19" s="32" t="s">
        <v>56</v>
      </c>
      <c r="C19" s="32"/>
      <c r="D19" s="32"/>
      <c r="E19" s="32"/>
      <c r="F19" s="32"/>
      <c r="G19" s="32"/>
      <c r="H19" s="32"/>
      <c r="I19" s="32"/>
      <c r="J19" s="32"/>
      <c r="K19" s="32"/>
      <c r="L19" s="32"/>
    </row>
    <row r="20" spans="2:12" ht="18" customHeight="1">
      <c r="B20" s="1" t="s">
        <v>91</v>
      </c>
      <c r="C20" s="1"/>
      <c r="D20" s="1"/>
      <c r="E20" s="1"/>
      <c r="F20" s="1"/>
      <c r="G20" s="1"/>
      <c r="H20" s="1"/>
      <c r="I20" s="1"/>
      <c r="J20" s="1"/>
      <c r="K20" s="1"/>
      <c r="L20" s="1"/>
    </row>
    <row r="21" spans="2:12" ht="18" customHeight="1">
      <c r="B21" s="32" t="s">
        <v>102</v>
      </c>
      <c r="C21" s="32"/>
      <c r="D21" s="32"/>
      <c r="E21" s="32"/>
      <c r="F21" s="32"/>
      <c r="G21" s="32"/>
      <c r="H21" s="32"/>
      <c r="I21" s="32"/>
      <c r="J21" s="32"/>
      <c r="K21" s="32"/>
      <c r="L21" s="32"/>
    </row>
    <row r="22" spans="2:12" ht="18" customHeight="1">
      <c r="B22" s="8" t="s">
        <v>90</v>
      </c>
      <c r="C22" s="8"/>
      <c r="D22" s="8"/>
      <c r="E22" s="8"/>
      <c r="F22" s="8"/>
      <c r="G22" s="8"/>
      <c r="H22" s="8"/>
      <c r="I22" s="8"/>
      <c r="J22" s="8"/>
      <c r="K22" s="8"/>
      <c r="L22" s="8"/>
    </row>
    <row r="23" spans="2:12" ht="18" customHeight="1">
      <c r="B23" s="22" t="s">
        <v>98</v>
      </c>
      <c r="C23" s="8"/>
      <c r="D23" s="8"/>
      <c r="E23" s="8"/>
      <c r="F23" s="8"/>
      <c r="G23" s="8"/>
      <c r="H23" s="8"/>
      <c r="I23" s="8"/>
      <c r="J23" s="8"/>
      <c r="K23" s="8"/>
      <c r="L23" s="8"/>
    </row>
    <row r="24" spans="2:12" ht="18" customHeight="1">
      <c r="B24" s="32" t="s">
        <v>82</v>
      </c>
      <c r="C24" s="32"/>
      <c r="D24" s="32"/>
      <c r="E24" s="32"/>
      <c r="F24" s="32"/>
      <c r="G24" s="32"/>
      <c r="H24" s="32"/>
      <c r="I24" s="32"/>
      <c r="J24" s="32"/>
      <c r="K24" s="32"/>
      <c r="L24" s="32"/>
    </row>
    <row r="25" spans="2:12" ht="18" customHeight="1">
      <c r="B25" s="32" t="s">
        <v>81</v>
      </c>
      <c r="C25" s="32"/>
      <c r="D25" s="32"/>
      <c r="E25" s="32"/>
      <c r="F25" s="32"/>
      <c r="G25" s="32"/>
      <c r="H25" s="32"/>
      <c r="I25" s="32"/>
      <c r="J25" s="32"/>
      <c r="K25" s="32"/>
      <c r="L25" s="32"/>
    </row>
    <row r="26" spans="2:12" ht="18" customHeight="1">
      <c r="B26" s="36" t="str">
        <f ca="1">IF(L4&lt;Q4,B2&amp;"年度の税率は仮のものです。変更される可能性がありますのでご注意ください。"," ")</f>
        <v>令和6年度の税率は仮のものです。変更される可能性がありますのでご注意ください。</v>
      </c>
      <c r="C26" s="36"/>
      <c r="D26" s="36"/>
      <c r="E26" s="36"/>
      <c r="F26" s="36"/>
      <c r="G26" s="36"/>
      <c r="H26" s="36"/>
      <c r="I26" s="36"/>
      <c r="J26" s="36"/>
      <c r="K26" s="36"/>
      <c r="L26" s="36"/>
    </row>
    <row r="28" spans="2:12">
      <c r="B28" t="s">
        <v>50</v>
      </c>
    </row>
    <row r="29" spans="2:12">
      <c r="C29" s="32" t="s">
        <v>53</v>
      </c>
      <c r="D29" s="32"/>
      <c r="E29" s="32"/>
      <c r="F29" s="32"/>
      <c r="G29" s="32"/>
      <c r="H29" s="32"/>
      <c r="I29" s="32"/>
      <c r="J29" s="32"/>
      <c r="K29" s="32"/>
      <c r="L29" s="32"/>
    </row>
    <row r="30" spans="2:12">
      <c r="D30" s="33" t="s">
        <v>87</v>
      </c>
      <c r="E30" s="32"/>
      <c r="F30" s="32"/>
      <c r="G30" s="32"/>
      <c r="H30" s="32"/>
      <c r="I30" s="32"/>
      <c r="J30" s="32"/>
      <c r="K30" s="32"/>
      <c r="L30" s="32"/>
    </row>
    <row r="31" spans="2:12">
      <c r="C31" s="32" t="s">
        <v>85</v>
      </c>
      <c r="D31" s="32"/>
      <c r="E31" s="32"/>
      <c r="F31" s="32"/>
      <c r="G31" s="32"/>
      <c r="H31" s="32"/>
      <c r="I31" s="32"/>
      <c r="J31" s="32"/>
      <c r="K31" s="32"/>
      <c r="L31" s="32"/>
    </row>
    <row r="32" spans="2:12">
      <c r="D32" s="33" t="s">
        <v>51</v>
      </c>
      <c r="E32" s="32"/>
      <c r="F32" s="32"/>
      <c r="G32" s="32"/>
      <c r="H32" s="32"/>
      <c r="I32" s="32"/>
      <c r="J32" s="32"/>
      <c r="K32" s="32"/>
      <c r="L32" s="32"/>
    </row>
    <row r="33" spans="3:12">
      <c r="D33" s="33" t="s">
        <v>88</v>
      </c>
      <c r="E33" s="32"/>
      <c r="F33" s="32"/>
      <c r="G33" s="32"/>
      <c r="H33" s="32"/>
      <c r="I33" s="32"/>
      <c r="J33" s="32"/>
      <c r="K33" s="32"/>
      <c r="L33" s="32"/>
    </row>
    <row r="34" spans="3:12">
      <c r="D34" s="11" t="s">
        <v>97</v>
      </c>
      <c r="E34" s="10"/>
      <c r="F34" s="10"/>
      <c r="G34" s="10"/>
      <c r="H34" s="10"/>
      <c r="I34" s="10"/>
      <c r="J34" s="10"/>
      <c r="K34" s="10"/>
      <c r="L34" s="10"/>
    </row>
    <row r="35" spans="3:12">
      <c r="C35" s="32" t="s">
        <v>54</v>
      </c>
      <c r="D35" s="32"/>
      <c r="E35" s="32"/>
      <c r="F35" s="32"/>
      <c r="G35" s="32"/>
      <c r="H35" s="32"/>
      <c r="I35" s="32"/>
      <c r="J35" s="32"/>
      <c r="K35" s="32"/>
      <c r="L35" s="32"/>
    </row>
    <row r="36" spans="3:12">
      <c r="D36" s="33" t="s">
        <v>55</v>
      </c>
      <c r="E36" s="32"/>
      <c r="F36" s="32"/>
      <c r="G36" s="32"/>
      <c r="H36" s="32"/>
      <c r="I36" s="32"/>
      <c r="J36" s="32"/>
      <c r="K36" s="32"/>
      <c r="L36" s="32"/>
    </row>
  </sheetData>
  <sheetProtection algorithmName="SHA-512" hashValue="qamDgpGdLavJEvKr0FBBhF50qzbZ0HtKcjmY+PCer6AfiW/qHYjhSmtyV5Q5bUcz3DQTS9WsWe0b4dXO0rDUgA==" saltValue="A4a4XR9QdXq51vBeqIs2Fg==" spinCount="100000" sheet="1" selectLockedCells="1"/>
  <mergeCells count="23">
    <mergeCell ref="G2:L2"/>
    <mergeCell ref="B3:E3"/>
    <mergeCell ref="L3:M3"/>
    <mergeCell ref="J3:K3"/>
    <mergeCell ref="C2:E2"/>
    <mergeCell ref="D36:L36"/>
    <mergeCell ref="B21:L21"/>
    <mergeCell ref="D33:L33"/>
    <mergeCell ref="B24:L24"/>
    <mergeCell ref="D32:L32"/>
    <mergeCell ref="C29:L29"/>
    <mergeCell ref="B26:L26"/>
    <mergeCell ref="B25:L25"/>
    <mergeCell ref="C31:L31"/>
    <mergeCell ref="L4:M4"/>
    <mergeCell ref="J4:K4"/>
    <mergeCell ref="G15:M15"/>
    <mergeCell ref="C35:L35"/>
    <mergeCell ref="G13:L13"/>
    <mergeCell ref="B18:L18"/>
    <mergeCell ref="B19:L19"/>
    <mergeCell ref="D30:L30"/>
    <mergeCell ref="G14:H14"/>
  </mergeCells>
  <phoneticPr fontId="1"/>
  <conditionalFormatting sqref="D6:D13">
    <cfRule type="expression" dxfId="0" priority="1">
      <formula>$B$2&lt;&gt;"令和4"</formula>
    </cfRule>
  </conditionalFormatting>
  <dataValidations count="5">
    <dataValidation type="whole" imeMode="off" operator="greaterThanOrEqual" allowBlank="1" showInputMessage="1" showErrorMessage="1" sqref="C6:C13 E6:E13">
      <formula1>0</formula1>
    </dataValidation>
    <dataValidation type="list" imeMode="off" allowBlank="1" showInputMessage="1" showErrorMessage="1" sqref="B16">
      <formula1>"1,2,3,4,5,6,7,8,9,10,11,12"</formula1>
    </dataValidation>
    <dataValidation type="list" imeMode="off" allowBlank="1" showInputMessage="1" showErrorMessage="1" sqref="B2">
      <formula1>年度選択</formula1>
    </dataValidation>
    <dataValidation imeMode="hiragana" allowBlank="1" showInputMessage="1" showErrorMessage="1" sqref="B6:B13"/>
    <dataValidation type="custom" imeMode="off" operator="greaterThanOrEqual" allowBlank="1" showInputMessage="1" showErrorMessage="1" error="資産割が令和5年度に廃止されたため入力不要" sqref="D6:D13">
      <formula1>$B$2="令和4"</formula1>
    </dataValidation>
  </dataValidations>
  <hyperlinks>
    <hyperlink ref="D32" r:id="rId1"/>
    <hyperlink ref="D33" r:id="rId2" display="国税庁Webサイト　公的年金控除"/>
    <hyperlink ref="D30" r:id="rId3"/>
    <hyperlink ref="D36" r:id="rId4"/>
    <hyperlink ref="D34" r:id="rId5"/>
  </hyperlinks>
  <pageMargins left="0.7" right="0.7" top="0.75" bottom="0.75" header="0.3" footer="0.3"/>
  <pageSetup paperSize="9" orientation="landscape" r:id="rId6"/>
  <drawing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O23"/>
  <sheetViews>
    <sheetView showGridLines="0" zoomScaleNormal="100" workbookViewId="0">
      <selection activeCell="C2" sqref="C2"/>
    </sheetView>
  </sheetViews>
  <sheetFormatPr defaultRowHeight="13.5"/>
  <cols>
    <col min="1" max="1" width="3" style="7" customWidth="1"/>
    <col min="2" max="2" width="16.25" style="7" customWidth="1"/>
    <col min="3" max="3" width="13" style="7" bestFit="1" customWidth="1"/>
    <col min="4" max="4" width="13.125" style="7" bestFit="1" customWidth="1"/>
    <col min="5" max="5" width="9.125" style="7" bestFit="1" customWidth="1"/>
    <col min="6" max="6" width="3" style="7" customWidth="1"/>
    <col min="7" max="7" width="9" style="7"/>
    <col min="8" max="12" width="9.75" style="7" customWidth="1"/>
    <col min="13" max="14" width="9" style="7"/>
    <col min="15" max="15" width="4.25" style="7" customWidth="1"/>
    <col min="16" max="16384" width="9" style="7"/>
  </cols>
  <sheetData>
    <row r="2" spans="2:15">
      <c r="B2" s="28" t="s">
        <v>52</v>
      </c>
      <c r="C2" s="7" t="s">
        <v>107</v>
      </c>
    </row>
    <row r="4" spans="2:15">
      <c r="B4" s="28" t="s">
        <v>60</v>
      </c>
      <c r="C4" s="7" t="s">
        <v>64</v>
      </c>
      <c r="D4" s="7" t="s">
        <v>0</v>
      </c>
      <c r="E4" s="7" t="s">
        <v>2</v>
      </c>
      <c r="F4" s="42" t="s">
        <v>62</v>
      </c>
      <c r="G4" s="42"/>
    </row>
    <row r="5" spans="2:15">
      <c r="C5" s="7" t="s">
        <v>61</v>
      </c>
      <c r="D5" s="7" t="s">
        <v>69</v>
      </c>
      <c r="E5" s="7" t="s">
        <v>89</v>
      </c>
      <c r="F5" s="42" t="s">
        <v>93</v>
      </c>
      <c r="G5" s="42"/>
      <c r="H5" s="42"/>
      <c r="I5" s="42"/>
      <c r="J5" s="42"/>
      <c r="K5" s="42"/>
      <c r="L5" s="42"/>
      <c r="M5" s="42"/>
      <c r="N5" s="42"/>
      <c r="O5" s="42"/>
    </row>
    <row r="6" spans="2:15">
      <c r="C6" s="7" t="s">
        <v>65</v>
      </c>
      <c r="D6" s="7" t="s">
        <v>70</v>
      </c>
      <c r="E6" s="7" t="s">
        <v>89</v>
      </c>
      <c r="F6" s="42" t="s">
        <v>94</v>
      </c>
      <c r="G6" s="42"/>
      <c r="H6" s="42"/>
      <c r="I6" s="42"/>
      <c r="J6" s="42"/>
      <c r="K6" s="42"/>
      <c r="L6" s="42"/>
      <c r="M6" s="42"/>
      <c r="N6" s="42"/>
      <c r="O6" s="42"/>
    </row>
    <row r="7" spans="2:15">
      <c r="C7" s="7" t="s">
        <v>67</v>
      </c>
      <c r="D7" s="7" t="s">
        <v>71</v>
      </c>
      <c r="E7" s="7" t="s">
        <v>68</v>
      </c>
      <c r="F7" s="42" t="s">
        <v>96</v>
      </c>
      <c r="G7" s="42"/>
      <c r="H7" s="42"/>
      <c r="I7" s="42"/>
      <c r="J7" s="42"/>
      <c r="K7" s="42"/>
      <c r="L7" s="42"/>
      <c r="M7" s="42"/>
      <c r="N7" s="42"/>
      <c r="O7" s="42"/>
    </row>
    <row r="8" spans="2:15">
      <c r="C8" s="7" t="s">
        <v>73</v>
      </c>
      <c r="D8" s="7" t="s">
        <v>72</v>
      </c>
      <c r="E8" s="7" t="s">
        <v>74</v>
      </c>
      <c r="F8" s="42" t="s">
        <v>95</v>
      </c>
      <c r="G8" s="42"/>
      <c r="H8" s="42"/>
      <c r="I8" s="42"/>
      <c r="J8" s="42"/>
      <c r="K8" s="42"/>
      <c r="L8" s="42"/>
      <c r="M8" s="42"/>
      <c r="N8" s="42"/>
      <c r="O8" s="42"/>
    </row>
    <row r="9" spans="2:15">
      <c r="C9" s="7" t="s">
        <v>75</v>
      </c>
      <c r="D9" s="7" t="s">
        <v>76</v>
      </c>
      <c r="E9" s="7" t="s">
        <v>78</v>
      </c>
      <c r="F9" s="42" t="s">
        <v>66</v>
      </c>
      <c r="G9" s="42"/>
      <c r="H9" s="42"/>
      <c r="I9" s="42"/>
      <c r="J9" s="42"/>
      <c r="K9" s="42"/>
      <c r="L9" s="42"/>
      <c r="M9" s="42"/>
      <c r="N9" s="42"/>
    </row>
    <row r="11" spans="2:15">
      <c r="B11" s="28" t="s">
        <v>63</v>
      </c>
      <c r="C11" s="23" t="s">
        <v>105</v>
      </c>
      <c r="D11" s="23"/>
      <c r="E11" s="23"/>
      <c r="F11" s="23"/>
      <c r="G11" s="23"/>
      <c r="H11" s="23"/>
      <c r="I11" s="23"/>
      <c r="J11" s="23"/>
      <c r="K11" s="23"/>
      <c r="L11" s="23"/>
      <c r="M11" s="23"/>
      <c r="N11" s="23"/>
    </row>
    <row r="12" spans="2:15">
      <c r="B12" s="29"/>
      <c r="D12" s="42"/>
      <c r="E12" s="42"/>
      <c r="F12" s="42"/>
      <c r="G12" s="42"/>
      <c r="H12" s="42"/>
      <c r="I12" s="42"/>
      <c r="J12" s="42"/>
      <c r="K12" s="42"/>
      <c r="L12" s="42"/>
      <c r="M12" s="42"/>
      <c r="N12" s="42"/>
      <c r="O12" s="42"/>
    </row>
    <row r="13" spans="2:15">
      <c r="D13" s="42"/>
      <c r="E13" s="42"/>
      <c r="F13" s="42"/>
      <c r="G13" s="42"/>
      <c r="H13" s="42"/>
      <c r="I13" s="42"/>
      <c r="J13" s="42"/>
      <c r="K13" s="42"/>
      <c r="L13" s="42"/>
      <c r="M13" s="42"/>
      <c r="N13" s="42"/>
      <c r="O13" s="42"/>
    </row>
    <row r="14" spans="2:15">
      <c r="D14" s="42"/>
      <c r="E14" s="42"/>
      <c r="F14" s="42"/>
      <c r="G14" s="42"/>
      <c r="H14" s="42"/>
      <c r="I14" s="42"/>
      <c r="J14" s="42"/>
      <c r="K14" s="42"/>
      <c r="L14" s="42"/>
      <c r="M14" s="42"/>
      <c r="N14" s="42"/>
      <c r="O14" s="42"/>
    </row>
    <row r="16" spans="2:15">
      <c r="D16" s="42"/>
      <c r="E16" s="42"/>
      <c r="F16" s="42"/>
      <c r="G16" s="42"/>
      <c r="H16" s="42"/>
      <c r="I16" s="42"/>
      <c r="J16" s="42"/>
      <c r="K16" s="42"/>
      <c r="L16" s="42"/>
      <c r="M16" s="42"/>
      <c r="N16" s="42"/>
      <c r="O16" s="42"/>
    </row>
    <row r="17" spans="2:15">
      <c r="D17" s="42"/>
      <c r="E17" s="42"/>
      <c r="F17" s="42"/>
      <c r="G17" s="42"/>
      <c r="H17" s="42"/>
      <c r="I17" s="42"/>
      <c r="J17" s="42"/>
      <c r="K17" s="42"/>
      <c r="L17" s="42"/>
      <c r="M17" s="42"/>
      <c r="N17" s="42"/>
      <c r="O17" s="42"/>
    </row>
    <row r="18" spans="2:15">
      <c r="D18" s="42"/>
      <c r="E18" s="42"/>
      <c r="F18" s="42"/>
      <c r="G18" s="42"/>
      <c r="H18" s="42"/>
      <c r="I18" s="42"/>
      <c r="J18" s="42"/>
      <c r="K18" s="42"/>
      <c r="L18" s="42"/>
      <c r="M18" s="42"/>
      <c r="N18" s="42"/>
      <c r="O18" s="42"/>
    </row>
    <row r="20" spans="2:15">
      <c r="B20" s="28" t="s">
        <v>77</v>
      </c>
      <c r="C20" s="42" t="s">
        <v>106</v>
      </c>
      <c r="D20" s="42"/>
      <c r="E20" s="42"/>
      <c r="F20" s="42"/>
      <c r="G20" s="42"/>
      <c r="H20" s="42"/>
      <c r="I20" s="42"/>
      <c r="J20" s="42"/>
      <c r="K20" s="42"/>
      <c r="L20" s="42"/>
      <c r="M20" s="42"/>
      <c r="N20" s="42"/>
    </row>
    <row r="22" spans="2:15">
      <c r="B22" s="28" t="s">
        <v>59</v>
      </c>
    </row>
    <row r="23" spans="2:15" ht="15" customHeight="1">
      <c r="B23" s="9"/>
      <c r="C23" s="8"/>
      <c r="D23" s="8"/>
      <c r="E23" s="8"/>
    </row>
  </sheetData>
  <mergeCells count="13">
    <mergeCell ref="C20:N20"/>
    <mergeCell ref="D18:O18"/>
    <mergeCell ref="F8:O8"/>
    <mergeCell ref="D17:O17"/>
    <mergeCell ref="F4:G4"/>
    <mergeCell ref="D16:O16"/>
    <mergeCell ref="D12:O12"/>
    <mergeCell ref="D13:O13"/>
    <mergeCell ref="D14:O14"/>
    <mergeCell ref="F5:O5"/>
    <mergeCell ref="F6:O6"/>
    <mergeCell ref="F7:O7"/>
    <mergeCell ref="F9:N9"/>
  </mergeCells>
  <phoneticPr fontId="1"/>
  <pageMargins left="0.7" right="0.7" top="0.75" bottom="0.75" header="0.3" footer="0.3"/>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25"/>
  <sheetViews>
    <sheetView workbookViewId="0">
      <selection activeCell="C33" sqref="C33"/>
    </sheetView>
  </sheetViews>
  <sheetFormatPr defaultRowHeight="13.5"/>
  <cols>
    <col min="2" max="2" width="11" bestFit="1" customWidth="1"/>
    <col min="3" max="3" width="13" bestFit="1" customWidth="1"/>
    <col min="4" max="4" width="13" customWidth="1"/>
  </cols>
  <sheetData>
    <row r="1" spans="1:15">
      <c r="G1" t="s">
        <v>3</v>
      </c>
      <c r="J1" t="s">
        <v>7</v>
      </c>
      <c r="M1" t="s">
        <v>8</v>
      </c>
    </row>
    <row r="2" spans="1:15">
      <c r="A2" t="s">
        <v>0</v>
      </c>
      <c r="B2" t="s">
        <v>23</v>
      </c>
      <c r="C2" t="s">
        <v>22</v>
      </c>
      <c r="D2" t="s">
        <v>1</v>
      </c>
      <c r="E2" t="s">
        <v>9</v>
      </c>
      <c r="F2" t="s">
        <v>10</v>
      </c>
      <c r="G2" t="s">
        <v>4</v>
      </c>
      <c r="H2" t="s">
        <v>5</v>
      </c>
      <c r="I2" t="s">
        <v>6</v>
      </c>
      <c r="J2" t="s">
        <v>4</v>
      </c>
      <c r="K2" t="s">
        <v>5</v>
      </c>
      <c r="L2" t="s">
        <v>6</v>
      </c>
      <c r="M2" t="s">
        <v>4</v>
      </c>
      <c r="N2" t="s">
        <v>5</v>
      </c>
      <c r="O2" t="s">
        <v>6</v>
      </c>
    </row>
    <row r="3" spans="1:15">
      <c r="A3">
        <f>入力!D11</f>
        <v>0</v>
      </c>
      <c r="B3">
        <f>入力!C6</f>
        <v>0</v>
      </c>
      <c r="C3">
        <f>IF(入力!$B$2="令和2",MAX(B3-330000,0),MAX(B3-430000,0))</f>
        <v>0</v>
      </c>
      <c r="D3">
        <f>入力!D6</f>
        <v>0</v>
      </c>
      <c r="E3">
        <f>IF(入力!E6="",0,IF(入力!E6&lt;75,入力!B$16,0))</f>
        <v>0</v>
      </c>
      <c r="F3">
        <f>IF(AND(入力!E6&gt;=40,入力!E6&lt;=64),計算!E3,0)</f>
        <v>0</v>
      </c>
      <c r="G3">
        <f>ROUNDDOWN(C3*$C$23*計算!E3/12,0)</f>
        <v>0</v>
      </c>
      <c r="H3">
        <f>ROUNDDOWN(D3*$B$23*計算!E3/12,0)</f>
        <v>0</v>
      </c>
      <c r="I3">
        <f t="shared" ref="I3:I10" si="0">ROUNDDOWN(E3*$D$23/12,0)</f>
        <v>0</v>
      </c>
      <c r="J3">
        <f>ROUNDDOWN(C3*$C$24*計算!E3/12,0)</f>
        <v>0</v>
      </c>
      <c r="K3">
        <f>ROUNDDOWN(D3*$B$24*計算!E3/12,0)</f>
        <v>0</v>
      </c>
      <c r="L3">
        <f t="shared" ref="L3:L10" si="1">ROUNDDOWN(E3*$D$24/12,0)</f>
        <v>0</v>
      </c>
      <c r="M3">
        <f t="shared" ref="M3:M10" si="2">ROUNDDOWN(C3*$C$25*F3/12,0)</f>
        <v>0</v>
      </c>
      <c r="N3">
        <f>ROUNDDOWN(D3*$B$25*計算!F3/12,0)</f>
        <v>0</v>
      </c>
      <c r="O3">
        <f t="shared" ref="O3:O10" si="3">ROUNDDOWN(F3*$D$25/12,0)</f>
        <v>0</v>
      </c>
    </row>
    <row r="4" spans="1:15">
      <c r="A4">
        <f>入力!B7</f>
        <v>0</v>
      </c>
      <c r="B4">
        <f>入力!C7</f>
        <v>0</v>
      </c>
      <c r="C4">
        <f>IF(入力!$B$2="令和2",MAX(B4-330000,0),MAX(B4-430000,0))</f>
        <v>0</v>
      </c>
      <c r="D4">
        <f>入力!D7</f>
        <v>0</v>
      </c>
      <c r="E4">
        <f>IF(入力!E7="",0,IF(入力!E7&lt;75,入力!B$16,0))</f>
        <v>0</v>
      </c>
      <c r="F4">
        <f>IF(AND(入力!E7&gt;=40,入力!E7&lt;=64),計算!E4,0)</f>
        <v>0</v>
      </c>
      <c r="G4">
        <f>ROUNDDOWN(C4*$C$23*計算!E4/12,0)</f>
        <v>0</v>
      </c>
      <c r="H4">
        <f>ROUNDDOWN(D4*$B$23*計算!E4/12,0)</f>
        <v>0</v>
      </c>
      <c r="I4">
        <f t="shared" si="0"/>
        <v>0</v>
      </c>
      <c r="J4">
        <f>ROUNDDOWN(C4*$C$24*計算!E4/12,0)</f>
        <v>0</v>
      </c>
      <c r="K4">
        <f>ROUNDDOWN(D4*$B$24*計算!E4/12,0)</f>
        <v>0</v>
      </c>
      <c r="L4">
        <f t="shared" si="1"/>
        <v>0</v>
      </c>
      <c r="M4">
        <f t="shared" si="2"/>
        <v>0</v>
      </c>
      <c r="N4">
        <f>ROUNDDOWN(D4*$B$25*計算!F4/12,0)</f>
        <v>0</v>
      </c>
      <c r="O4">
        <f t="shared" si="3"/>
        <v>0</v>
      </c>
    </row>
    <row r="5" spans="1:15">
      <c r="A5">
        <f>入力!B8</f>
        <v>0</v>
      </c>
      <c r="B5">
        <f>入力!C8</f>
        <v>0</v>
      </c>
      <c r="C5">
        <f>IF(入力!$B$2="令和2",MAX(B5-330000,0),MAX(B5-430000,0))</f>
        <v>0</v>
      </c>
      <c r="D5">
        <f>入力!D8</f>
        <v>0</v>
      </c>
      <c r="E5">
        <f>IF(入力!E8="",0,IF(入力!E8&lt;75,入力!B$16,0))</f>
        <v>0</v>
      </c>
      <c r="F5">
        <f>IF(AND(入力!E8&gt;=40,入力!E8&lt;=64),計算!E5,0)</f>
        <v>0</v>
      </c>
      <c r="G5">
        <f>ROUNDDOWN(C5*$C$23*計算!E5/12,0)</f>
        <v>0</v>
      </c>
      <c r="H5">
        <f>ROUNDDOWN(D5*$B$23*計算!E5/12,0)</f>
        <v>0</v>
      </c>
      <c r="I5">
        <f t="shared" si="0"/>
        <v>0</v>
      </c>
      <c r="J5">
        <f>ROUNDDOWN(C5*$C$24*計算!E5/12,0)</f>
        <v>0</v>
      </c>
      <c r="K5">
        <f>ROUNDDOWN(D5*$B$24*計算!E5/12,0)</f>
        <v>0</v>
      </c>
      <c r="L5">
        <f t="shared" si="1"/>
        <v>0</v>
      </c>
      <c r="M5">
        <f t="shared" si="2"/>
        <v>0</v>
      </c>
      <c r="N5">
        <f>ROUNDDOWN(D5*$B$25*計算!F5/12,0)</f>
        <v>0</v>
      </c>
      <c r="O5">
        <f t="shared" si="3"/>
        <v>0</v>
      </c>
    </row>
    <row r="6" spans="1:15">
      <c r="A6">
        <f>入力!B9</f>
        <v>0</v>
      </c>
      <c r="B6">
        <f>入力!C9</f>
        <v>0</v>
      </c>
      <c r="C6">
        <f>IF(入力!$B$2="令和2",MAX(B6-330000,0),MAX(B6-430000,0))</f>
        <v>0</v>
      </c>
      <c r="D6">
        <f>入力!D9</f>
        <v>0</v>
      </c>
      <c r="E6">
        <f>IF(入力!E9="",0,IF(入力!E9&lt;75,入力!B$16,0))</f>
        <v>0</v>
      </c>
      <c r="F6">
        <f>IF(AND(入力!E9&gt;=40,入力!E9&lt;=64),計算!E6,0)</f>
        <v>0</v>
      </c>
      <c r="G6">
        <f>ROUNDDOWN(C6*$C$23*計算!E6/12,0)</f>
        <v>0</v>
      </c>
      <c r="H6">
        <f>ROUNDDOWN(D6*$B$23*計算!E6/12,0)</f>
        <v>0</v>
      </c>
      <c r="I6">
        <f t="shared" si="0"/>
        <v>0</v>
      </c>
      <c r="J6">
        <f>ROUNDDOWN(C6*$C$24*計算!E6/12,0)</f>
        <v>0</v>
      </c>
      <c r="K6">
        <f>ROUNDDOWN(D6*$B$24*計算!E6/12,0)</f>
        <v>0</v>
      </c>
      <c r="L6">
        <f t="shared" si="1"/>
        <v>0</v>
      </c>
      <c r="M6">
        <f t="shared" si="2"/>
        <v>0</v>
      </c>
      <c r="N6">
        <f>ROUNDDOWN(D6*$B$25*計算!F6/12,0)</f>
        <v>0</v>
      </c>
      <c r="O6">
        <f t="shared" si="3"/>
        <v>0</v>
      </c>
    </row>
    <row r="7" spans="1:15">
      <c r="A7">
        <f>入力!B10</f>
        <v>0</v>
      </c>
      <c r="B7">
        <f>入力!C10</f>
        <v>0</v>
      </c>
      <c r="C7">
        <f>IF(入力!$B$2="令和2",MAX(B7-330000,0),MAX(B7-430000,0))</f>
        <v>0</v>
      </c>
      <c r="D7">
        <f>入力!D10</f>
        <v>0</v>
      </c>
      <c r="E7">
        <f>IF(入力!E10="",0,IF(入力!E10&lt;75,入力!B$16,0))</f>
        <v>0</v>
      </c>
      <c r="F7">
        <f>IF(AND(入力!E10&gt;=40,入力!E10&lt;=64),計算!E7,0)</f>
        <v>0</v>
      </c>
      <c r="G7">
        <f>ROUNDDOWN(C7*$C$23*計算!E7/12,0)</f>
        <v>0</v>
      </c>
      <c r="H7">
        <f>ROUNDDOWN(D7*$B$23*計算!E7/12,0)</f>
        <v>0</v>
      </c>
      <c r="I7">
        <f t="shared" si="0"/>
        <v>0</v>
      </c>
      <c r="J7">
        <f>ROUNDDOWN(C7*$C$24*計算!E7/12,0)</f>
        <v>0</v>
      </c>
      <c r="K7">
        <f>ROUNDDOWN(D7*$B$24*計算!E7/12,0)</f>
        <v>0</v>
      </c>
      <c r="L7">
        <f t="shared" si="1"/>
        <v>0</v>
      </c>
      <c r="M7">
        <f t="shared" si="2"/>
        <v>0</v>
      </c>
      <c r="N7">
        <f>ROUNDDOWN(D7*$B$25*計算!F7/12,0)</f>
        <v>0</v>
      </c>
      <c r="O7">
        <f t="shared" si="3"/>
        <v>0</v>
      </c>
    </row>
    <row r="8" spans="1:15">
      <c r="A8">
        <f>入力!B11</f>
        <v>0</v>
      </c>
      <c r="B8">
        <f>入力!C11</f>
        <v>0</v>
      </c>
      <c r="C8">
        <f>IF(入力!$B$2="令和2",MAX(B8-330000,0),MAX(B8-430000,0))</f>
        <v>0</v>
      </c>
      <c r="D8">
        <f>入力!D11</f>
        <v>0</v>
      </c>
      <c r="E8">
        <f>IF(入力!E11="",0,IF(入力!E11&lt;75,入力!B$16,0))</f>
        <v>0</v>
      </c>
      <c r="F8">
        <f>IF(AND(入力!E11&gt;=40,入力!E11&lt;=64),計算!E8,0)</f>
        <v>0</v>
      </c>
      <c r="G8">
        <f>ROUNDDOWN(C8*$C$23*計算!E8/12,0)</f>
        <v>0</v>
      </c>
      <c r="H8">
        <f>ROUNDDOWN(D8*$B$23*計算!E8/12,0)</f>
        <v>0</v>
      </c>
      <c r="I8">
        <f t="shared" si="0"/>
        <v>0</v>
      </c>
      <c r="J8">
        <f>ROUNDDOWN(C8*$C$24*計算!E8/12,0)</f>
        <v>0</v>
      </c>
      <c r="K8">
        <f>ROUNDDOWN(D8*$B$24*計算!E8/12,0)</f>
        <v>0</v>
      </c>
      <c r="L8">
        <f t="shared" si="1"/>
        <v>0</v>
      </c>
      <c r="M8">
        <f t="shared" si="2"/>
        <v>0</v>
      </c>
      <c r="N8">
        <f>ROUNDDOWN(D8*$B$25*計算!F8/12,0)</f>
        <v>0</v>
      </c>
      <c r="O8">
        <f t="shared" si="3"/>
        <v>0</v>
      </c>
    </row>
    <row r="9" spans="1:15">
      <c r="A9">
        <f>入力!B12</f>
        <v>0</v>
      </c>
      <c r="B9">
        <f>入力!C12</f>
        <v>0</v>
      </c>
      <c r="C9">
        <f>IF(入力!$B$2="令和2",MAX(B9-330000,0),MAX(B9-430000,0))</f>
        <v>0</v>
      </c>
      <c r="D9">
        <f>入力!D12</f>
        <v>0</v>
      </c>
      <c r="E9">
        <f>IF(入力!E12="",0,IF(入力!E12&lt;75,入力!B$16,0))</f>
        <v>0</v>
      </c>
      <c r="F9">
        <f>IF(AND(入力!E12&gt;=40,入力!E12&lt;=64),計算!E9,0)</f>
        <v>0</v>
      </c>
      <c r="G9">
        <f>ROUNDDOWN(C9*$C$23*計算!E9/12,0)</f>
        <v>0</v>
      </c>
      <c r="H9">
        <f>ROUNDDOWN(D9*$B$23*計算!E9/12,0)</f>
        <v>0</v>
      </c>
      <c r="I9">
        <f t="shared" si="0"/>
        <v>0</v>
      </c>
      <c r="J9">
        <f>ROUNDDOWN(C9*$C$24*計算!E9/12,0)</f>
        <v>0</v>
      </c>
      <c r="K9">
        <f>ROUNDDOWN(D9*$B$24*計算!E9/12,0)</f>
        <v>0</v>
      </c>
      <c r="L9">
        <f t="shared" si="1"/>
        <v>0</v>
      </c>
      <c r="M9">
        <f t="shared" si="2"/>
        <v>0</v>
      </c>
      <c r="N9">
        <f>ROUNDDOWN(D9*$B$25*計算!F9/12,0)</f>
        <v>0</v>
      </c>
      <c r="O9">
        <f t="shared" si="3"/>
        <v>0</v>
      </c>
    </row>
    <row r="10" spans="1:15">
      <c r="A10">
        <f>入力!B13</f>
        <v>0</v>
      </c>
      <c r="B10">
        <f>入力!C13</f>
        <v>0</v>
      </c>
      <c r="C10">
        <f>IF(入力!$B$2="令和2",MAX(B10-330000,0),MAX(B10-430000,0))</f>
        <v>0</v>
      </c>
      <c r="D10">
        <f>入力!D13</f>
        <v>0</v>
      </c>
      <c r="E10">
        <f>IF(入力!E13="",0,IF(入力!E13&lt;75,入力!B$16,0))</f>
        <v>0</v>
      </c>
      <c r="F10">
        <f>IF(AND(入力!E13&gt;=40,入力!E13&lt;=64),計算!E10,0)</f>
        <v>0</v>
      </c>
      <c r="G10">
        <f>ROUNDDOWN(C10*$C$23*計算!E10/12,0)</f>
        <v>0</v>
      </c>
      <c r="H10">
        <f>ROUNDDOWN(D10*$B$23*計算!E10/12,0)</f>
        <v>0</v>
      </c>
      <c r="I10">
        <f t="shared" si="0"/>
        <v>0</v>
      </c>
      <c r="J10">
        <f>ROUNDDOWN(C10*$C$24*計算!E10/12,0)</f>
        <v>0</v>
      </c>
      <c r="K10">
        <f>ROUNDDOWN(D10*$B$24*計算!E10/12,0)</f>
        <v>0</v>
      </c>
      <c r="L10">
        <f t="shared" si="1"/>
        <v>0</v>
      </c>
      <c r="M10">
        <f t="shared" si="2"/>
        <v>0</v>
      </c>
      <c r="N10">
        <f>ROUNDDOWN(D10*$B$25*計算!F10/12,0)</f>
        <v>0</v>
      </c>
      <c r="O10">
        <f t="shared" si="3"/>
        <v>0</v>
      </c>
    </row>
    <row r="11" spans="1:15">
      <c r="F11">
        <f>SUM(G3:G10)</f>
        <v>0</v>
      </c>
      <c r="G11">
        <f t="shared" ref="G11:N11" si="4">SUM(H3:H10)</f>
        <v>0</v>
      </c>
      <c r="H11">
        <f t="shared" si="4"/>
        <v>0</v>
      </c>
      <c r="I11">
        <f t="shared" si="4"/>
        <v>0</v>
      </c>
      <c r="J11">
        <f t="shared" si="4"/>
        <v>0</v>
      </c>
      <c r="K11">
        <f t="shared" si="4"/>
        <v>0</v>
      </c>
      <c r="L11">
        <f t="shared" si="4"/>
        <v>0</v>
      </c>
      <c r="M11">
        <f t="shared" si="4"/>
        <v>0</v>
      </c>
      <c r="N11">
        <f t="shared" si="4"/>
        <v>0</v>
      </c>
    </row>
    <row r="12" spans="1:15">
      <c r="A12" t="s">
        <v>11</v>
      </c>
    </row>
    <row r="13" spans="1:15">
      <c r="A13" t="s">
        <v>9</v>
      </c>
      <c r="B13" t="s">
        <v>10</v>
      </c>
      <c r="C13" t="s">
        <v>3</v>
      </c>
      <c r="D13" t="s">
        <v>7</v>
      </c>
      <c r="E13" t="s">
        <v>8</v>
      </c>
    </row>
    <row r="14" spans="1:15">
      <c r="A14">
        <f>MAX(E3:E10)</f>
        <v>0</v>
      </c>
      <c r="B14">
        <f>MAX(F3:F10)</f>
        <v>0</v>
      </c>
      <c r="C14">
        <f>ROUNDDOWN(A14*E23/12,0)</f>
        <v>0</v>
      </c>
      <c r="D14">
        <f>ROUNDDOWN(A14*E24/12,0)</f>
        <v>0</v>
      </c>
      <c r="E14">
        <f>ROUNDDOWN(B14*E25/12,0)</f>
        <v>0</v>
      </c>
    </row>
    <row r="16" spans="1:15">
      <c r="A16" t="s">
        <v>13</v>
      </c>
      <c r="D16" t="s">
        <v>12</v>
      </c>
      <c r="G16" t="s">
        <v>14</v>
      </c>
      <c r="J16" t="s">
        <v>15</v>
      </c>
    </row>
    <row r="17" spans="1:12">
      <c r="A17" t="s">
        <v>3</v>
      </c>
      <c r="B17" t="s">
        <v>7</v>
      </c>
      <c r="C17" t="s">
        <v>8</v>
      </c>
      <c r="D17" t="s">
        <v>3</v>
      </c>
      <c r="E17" t="s">
        <v>7</v>
      </c>
      <c r="F17" t="s">
        <v>8</v>
      </c>
      <c r="G17" t="s">
        <v>3</v>
      </c>
      <c r="H17" t="s">
        <v>7</v>
      </c>
      <c r="I17" t="s">
        <v>8</v>
      </c>
      <c r="J17" t="s">
        <v>3</v>
      </c>
      <c r="K17" t="s">
        <v>7</v>
      </c>
      <c r="L17" t="s">
        <v>8</v>
      </c>
    </row>
    <row r="18" spans="1:12">
      <c r="A18">
        <f>SUM(G3:I10)+C14</f>
        <v>0</v>
      </c>
      <c r="B18">
        <f>SUM(J3:L10)+D14</f>
        <v>0</v>
      </c>
      <c r="C18">
        <f>SUM(M3:O10)+E14</f>
        <v>0</v>
      </c>
      <c r="D18">
        <f>ROUNDDOWN(A14*F23/12,0)</f>
        <v>0</v>
      </c>
      <c r="E18">
        <f>ROUNDDOWN(A14*F24/12,0)</f>
        <v>0</v>
      </c>
      <c r="F18">
        <f>ROUNDDOWN(B14*F25/12,0)</f>
        <v>0</v>
      </c>
      <c r="G18">
        <f>MIN(A18,D18)</f>
        <v>0</v>
      </c>
      <c r="H18">
        <f>MIN(B18,E18)</f>
        <v>0</v>
      </c>
      <c r="I18">
        <f>MIN(C18,F18)</f>
        <v>0</v>
      </c>
      <c r="J18">
        <f>ROUNDDOWN(G18,-2)</f>
        <v>0</v>
      </c>
      <c r="K18">
        <f>ROUNDDOWN(H18,-2)</f>
        <v>0</v>
      </c>
      <c r="L18">
        <f>ROUNDDOWN(I18,-2)</f>
        <v>0</v>
      </c>
    </row>
    <row r="21" spans="1:12">
      <c r="A21" t="s">
        <v>24</v>
      </c>
    </row>
    <row r="22" spans="1:12">
      <c r="B22" t="s">
        <v>28</v>
      </c>
      <c r="C22" t="s">
        <v>29</v>
      </c>
      <c r="D22" t="s">
        <v>30</v>
      </c>
      <c r="E22" t="s">
        <v>31</v>
      </c>
      <c r="F22" t="s">
        <v>48</v>
      </c>
    </row>
    <row r="23" spans="1:12">
      <c r="A23" t="s">
        <v>25</v>
      </c>
      <c r="B23">
        <f>VLOOKUP(入力!$B$2,税率!$A:$P,2,FALSE)</f>
        <v>0</v>
      </c>
      <c r="C23">
        <f>VLOOKUP(入力!$B$2,税率!$A:$P,3,FALSE)</f>
        <v>6.8000000000000005E-2</v>
      </c>
      <c r="D23">
        <f>VLOOKUP(入力!$B$2,税率!$A:$P,4,FALSE)</f>
        <v>24000</v>
      </c>
      <c r="E23">
        <f>VLOOKUP(入力!$B$2,税率!$A:$P,5,FALSE)</f>
        <v>19200</v>
      </c>
      <c r="F23">
        <f>VLOOKUP(入力!$B$2,税率!$A:$P,6,FALSE)</f>
        <v>650000</v>
      </c>
    </row>
    <row r="24" spans="1:12">
      <c r="A24" t="s">
        <v>26</v>
      </c>
      <c r="B24">
        <f>VLOOKUP(入力!$B$2,税率!$A:$P,7,FALSE)</f>
        <v>0</v>
      </c>
      <c r="C24">
        <f>VLOOKUP(入力!$B$2,税率!$A:$P,8,FALSE)</f>
        <v>2.3E-2</v>
      </c>
      <c r="D24">
        <f>VLOOKUP(入力!$B$2,税率!$A:$P,9,FALSE)</f>
        <v>9600</v>
      </c>
      <c r="E24">
        <f>VLOOKUP(入力!$B$2,税率!$A:$P,10,FALSE)</f>
        <v>8400</v>
      </c>
      <c r="F24">
        <f>VLOOKUP(入力!$B$2,税率!$A:$P,11,FALSE)</f>
        <v>220000</v>
      </c>
    </row>
    <row r="25" spans="1:12">
      <c r="A25" t="s">
        <v>27</v>
      </c>
      <c r="B25">
        <f>VLOOKUP(入力!$B$2,税率!$A:$P,12,FALSE)</f>
        <v>0</v>
      </c>
      <c r="C25">
        <f>VLOOKUP(入力!$B$2,税率!$A:$P,13,FALSE)</f>
        <v>2.1999999999999999E-2</v>
      </c>
      <c r="D25">
        <f>VLOOKUP(入力!$B$2,税率!$A:$P,14,FALSE)</f>
        <v>15600</v>
      </c>
      <c r="E25">
        <f>VLOOKUP(入力!$B$2,税率!$A:$P,15,FALSE)</f>
        <v>0</v>
      </c>
      <c r="F25">
        <f>VLOOKUP(入力!$B$2,税率!$A:$P,16,FALSE)</f>
        <v>170000</v>
      </c>
    </row>
  </sheetData>
  <sheetProtection algorithmName="SHA-512" hashValue="QKMf/HGh4HbnbLoUbAeTBsT9m+SbTiFK6mFxs81GC3jTo1R8H5my5rJeHKNmw087VJwUEoz9+1t/SlMxQFJqXw==" saltValue="p8bYcbZliQNQp0+csSyAQw==" spinCount="100000" sheet="1" objects="1" scenarios="1"/>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3"/>
  <sheetViews>
    <sheetView workbookViewId="0">
      <selection activeCell="Q3" sqref="Q3"/>
    </sheetView>
  </sheetViews>
  <sheetFormatPr defaultRowHeight="13.5"/>
  <sheetData>
    <row r="1" spans="1:17">
      <c r="B1" t="s">
        <v>33</v>
      </c>
      <c r="C1" t="s">
        <v>34</v>
      </c>
      <c r="D1" t="s">
        <v>35</v>
      </c>
      <c r="E1" t="s">
        <v>36</v>
      </c>
      <c r="F1" t="s">
        <v>37</v>
      </c>
      <c r="G1" t="s">
        <v>38</v>
      </c>
      <c r="H1" t="s">
        <v>39</v>
      </c>
      <c r="I1" t="s">
        <v>40</v>
      </c>
      <c r="J1" t="s">
        <v>41</v>
      </c>
      <c r="K1" t="s">
        <v>42</v>
      </c>
      <c r="L1" t="s">
        <v>43</v>
      </c>
      <c r="M1" t="s">
        <v>44</v>
      </c>
      <c r="N1" t="s">
        <v>45</v>
      </c>
      <c r="O1" t="s">
        <v>46</v>
      </c>
      <c r="P1" t="s">
        <v>47</v>
      </c>
      <c r="Q1" t="s">
        <v>80</v>
      </c>
    </row>
    <row r="2" spans="1:17">
      <c r="A2" t="s">
        <v>103</v>
      </c>
      <c r="B2">
        <v>0</v>
      </c>
      <c r="C2">
        <v>6.8000000000000005E-2</v>
      </c>
      <c r="D2">
        <v>24000</v>
      </c>
      <c r="E2">
        <v>19200</v>
      </c>
      <c r="F2">
        <v>650000</v>
      </c>
      <c r="G2">
        <v>0</v>
      </c>
      <c r="H2">
        <v>2.3E-2</v>
      </c>
      <c r="I2">
        <v>9600</v>
      </c>
      <c r="J2">
        <v>8400</v>
      </c>
      <c r="K2">
        <v>200000</v>
      </c>
      <c r="L2">
        <v>0</v>
      </c>
      <c r="M2">
        <v>2.1999999999999999E-2</v>
      </c>
      <c r="N2">
        <v>15600</v>
      </c>
      <c r="O2">
        <v>0</v>
      </c>
      <c r="P2">
        <v>170000</v>
      </c>
      <c r="Q2" t="s">
        <v>92</v>
      </c>
    </row>
    <row r="3" spans="1:17">
      <c r="A3" t="s">
        <v>108</v>
      </c>
      <c r="B3">
        <v>0</v>
      </c>
      <c r="C3">
        <v>6.8000000000000005E-2</v>
      </c>
      <c r="D3">
        <v>24000</v>
      </c>
      <c r="E3">
        <v>19200</v>
      </c>
      <c r="F3">
        <v>650000</v>
      </c>
      <c r="G3">
        <v>0</v>
      </c>
      <c r="H3">
        <v>2.3E-2</v>
      </c>
      <c r="I3">
        <v>9600</v>
      </c>
      <c r="J3">
        <v>8400</v>
      </c>
      <c r="K3">
        <v>220000</v>
      </c>
      <c r="L3">
        <v>0</v>
      </c>
      <c r="M3">
        <v>2.1999999999999999E-2</v>
      </c>
      <c r="N3">
        <v>15600</v>
      </c>
      <c r="O3">
        <v>0</v>
      </c>
      <c r="P3">
        <v>170000</v>
      </c>
      <c r="Q3" t="s">
        <v>92</v>
      </c>
    </row>
  </sheetData>
  <phoneticPr fontId="1"/>
  <dataValidations count="1">
    <dataValidation type="list" allowBlank="1" showInputMessage="1" showErrorMessage="1" sqref="Q2:Q1048576">
      <formula1>"決定,仮"</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vt:lpstr>
      <vt:lpstr>入力例</vt:lpstr>
      <vt:lpstr>計算</vt:lpstr>
      <vt:lpstr>税率</vt:lpstr>
      <vt:lpstr>入力!Print_Area</vt:lpstr>
      <vt:lpstr>入力例!Print_Area</vt:lpstr>
      <vt:lpstr>年度選択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ごとう　わかこ</cp:lastModifiedBy>
  <cp:lastPrinted>2021-12-15T05:05:42Z</cp:lastPrinted>
  <dcterms:created xsi:type="dcterms:W3CDTF">2012-01-18T05:08:58Z</dcterms:created>
  <dcterms:modified xsi:type="dcterms:W3CDTF">2024-01-24T01:04:19Z</dcterms:modified>
</cp:coreProperties>
</file>